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Neil\Desktop\Boiler\"/>
    </mc:Choice>
  </mc:AlternateContent>
  <xr:revisionPtr revIDLastSave="0" documentId="8_{49522672-2970-4BB5-AAF8-FE2382994156}" xr6:coauthVersionLast="32" xr6:coauthVersionMax="32" xr10:uidLastSave="{00000000-0000-0000-0000-000000000000}"/>
  <bookViews>
    <workbookView xWindow="0" yWindow="0" windowWidth="15180" windowHeight="7785"/>
  </bookViews>
  <sheets>
    <sheet name="Data Input" sheetId="1" r:id="rId1"/>
    <sheet name="Calculation" sheetId="2" r:id="rId2"/>
    <sheet name="Summary of Results" sheetId="3" r:id="rId3"/>
    <sheet name="Fire Heat Balance" sheetId="4" r:id="rId4"/>
    <sheet name="Heat Consumption" sheetId="5" r:id="rId5"/>
    <sheet name="Firetube Temp Chart" sheetId="6" r:id="rId6"/>
    <sheet name="Superheater Temp. Chart" sheetId="7" r:id="rId7"/>
    <sheet name="Data sheet &amp; guidance" sheetId="8" r:id="rId8"/>
  </sheets>
  <definedNames>
    <definedName name="_Regression_Int" localSheetId="0">1</definedName>
    <definedName name="_xlnm.Print_Area" localSheetId="1">Calculation!$A$151:$H$190</definedName>
    <definedName name="Print_Area_MI" localSheetId="1">Calculation!$A$151:$H$190</definedName>
  </definedNames>
  <calcPr calcId="179017"/>
</workbook>
</file>

<file path=xl/calcChain.xml><?xml version="1.0" encoding="utf-8"?>
<calcChain xmlns="http://schemas.openxmlformats.org/spreadsheetml/2006/main">
  <c r="B5" i="2" l="1"/>
  <c r="B6" i="2"/>
  <c r="B7" i="2" s="1"/>
  <c r="B10" i="2" s="1"/>
  <c r="B8" i="2"/>
  <c r="B9" i="2"/>
  <c r="B13" i="2"/>
  <c r="D13" i="2"/>
  <c r="B54" i="2"/>
  <c r="B56" i="2"/>
  <c r="B58" i="2"/>
  <c r="B59" i="2"/>
  <c r="B60" i="2"/>
  <c r="B62" i="2"/>
  <c r="B78" i="2"/>
  <c r="B79" i="2"/>
  <c r="AN85" i="2"/>
  <c r="AP85" i="2"/>
  <c r="BI85" i="2"/>
  <c r="BS85" i="2"/>
  <c r="A87" i="2"/>
  <c r="A88" i="2"/>
  <c r="A89" i="2" s="1"/>
  <c r="A90" i="2" s="1"/>
  <c r="A91" i="2" s="1"/>
  <c r="A92" i="2" s="1"/>
  <c r="A93" i="2"/>
  <c r="A94" i="2" s="1"/>
  <c r="A95" i="2" s="1"/>
  <c r="A96" i="2" s="1"/>
  <c r="A97" i="2" s="1"/>
  <c r="A98" i="2"/>
  <c r="A99" i="2"/>
  <c r="A100" i="2" s="1"/>
  <c r="A101" i="2" s="1"/>
  <c r="A102" i="2" s="1"/>
  <c r="A103" i="2" s="1"/>
  <c r="A104" i="2"/>
  <c r="A105" i="2"/>
  <c r="A106" i="2" s="1"/>
  <c r="A107" i="2" s="1"/>
  <c r="A108" i="2" s="1"/>
  <c r="A109" i="2" s="1"/>
  <c r="A110" i="2" s="1"/>
  <c r="AP111" i="2"/>
  <c r="BI111" i="2"/>
  <c r="BS111" i="2"/>
  <c r="BT111" i="2"/>
  <c r="C128" i="2"/>
  <c r="C129" i="2"/>
  <c r="C130" i="2"/>
  <c r="C131" i="2"/>
  <c r="C132" i="2"/>
  <c r="B218" i="2" s="1"/>
  <c r="B138" i="2"/>
  <c r="B139" i="2"/>
  <c r="B140" i="2"/>
  <c r="B141" i="2"/>
  <c r="B142" i="2"/>
  <c r="B144" i="2"/>
  <c r="B145" i="2"/>
  <c r="B147" i="2" s="1"/>
  <c r="B146" i="2"/>
  <c r="B156" i="2"/>
  <c r="B157" i="2"/>
  <c r="B158" i="2"/>
  <c r="B160" i="2"/>
  <c r="B161" i="2"/>
  <c r="B162" i="2"/>
  <c r="B167" i="2"/>
  <c r="B185" i="2"/>
  <c r="K185" i="2" s="1"/>
  <c r="D185" i="2"/>
  <c r="F185" i="2"/>
  <c r="T185" i="2"/>
  <c r="B186" i="2"/>
  <c r="K186" i="2"/>
  <c r="B187" i="2"/>
  <c r="K187" i="2"/>
  <c r="B188" i="2"/>
  <c r="K188" i="2"/>
  <c r="B189" i="2"/>
  <c r="B190" i="2" s="1"/>
  <c r="K189" i="2"/>
  <c r="F211" i="2"/>
  <c r="T211" i="2"/>
  <c r="D219" i="2"/>
  <c r="B228" i="2"/>
  <c r="B229" i="2"/>
  <c r="B232" i="2"/>
  <c r="B233" i="2"/>
  <c r="B235" i="2"/>
  <c r="B238" i="2"/>
  <c r="B244" i="2"/>
  <c r="B246" i="2"/>
  <c r="D264" i="2" s="1"/>
  <c r="B247" i="2"/>
  <c r="B248" i="2"/>
  <c r="BB263" i="2" s="1"/>
  <c r="B249" i="2"/>
  <c r="B254" i="2"/>
  <c r="B255" i="2"/>
  <c r="C264" i="2"/>
  <c r="AJ264" i="2" s="1"/>
  <c r="E264" i="2"/>
  <c r="BC289" i="2"/>
  <c r="BG289" i="2"/>
  <c r="F297" i="2"/>
  <c r="F298" i="2"/>
  <c r="F299" i="2"/>
  <c r="F300" i="2"/>
  <c r="F301" i="2"/>
  <c r="H302" i="2"/>
  <c r="U302" i="2"/>
  <c r="AA302" i="2"/>
  <c r="AF302" i="2"/>
  <c r="AP302" i="2"/>
  <c r="AU302" i="2"/>
  <c r="AZ302" i="2"/>
  <c r="F303" i="2"/>
  <c r="I303" i="2" s="1"/>
  <c r="I304" i="2" s="1"/>
  <c r="I305" i="2" s="1"/>
  <c r="I306" i="2" s="1"/>
  <c r="I307" i="2" s="1"/>
  <c r="F304" i="2"/>
  <c r="F305" i="2"/>
  <c r="F306" i="2"/>
  <c r="F307" i="2"/>
  <c r="K316" i="2"/>
  <c r="Y316" i="2"/>
  <c r="AP316" i="2"/>
  <c r="BG316" i="2"/>
  <c r="B357" i="2"/>
  <c r="B358" i="2"/>
  <c r="B359" i="2"/>
  <c r="B360" i="2"/>
  <c r="B362" i="2"/>
  <c r="B363" i="2"/>
  <c r="B364" i="2"/>
  <c r="B369" i="2"/>
  <c r="B377" i="2"/>
  <c r="D377" i="2"/>
  <c r="F377" i="2"/>
  <c r="K377" i="2"/>
  <c r="T377" i="2"/>
  <c r="AE377" i="2"/>
  <c r="B378" i="2"/>
  <c r="K378" i="2"/>
  <c r="AE378" i="2"/>
  <c r="B379" i="2"/>
  <c r="K379" i="2"/>
  <c r="AE379" i="2"/>
  <c r="B380" i="2"/>
  <c r="K380" i="2"/>
  <c r="AE380" i="2"/>
  <c r="B381" i="2"/>
  <c r="K381" i="2"/>
  <c r="AE381" i="2"/>
  <c r="B382" i="2"/>
  <c r="K382" i="2"/>
  <c r="AE382" i="2"/>
  <c r="B383" i="2"/>
  <c r="K383" i="2"/>
  <c r="AE383" i="2"/>
  <c r="B384" i="2"/>
  <c r="K384" i="2"/>
  <c r="AE384" i="2"/>
  <c r="B385" i="2"/>
  <c r="K385" i="2"/>
  <c r="AE385" i="2"/>
  <c r="B386" i="2"/>
  <c r="K386" i="2"/>
  <c r="AE386" i="2"/>
  <c r="B387" i="2"/>
  <c r="K387" i="2"/>
  <c r="AE387" i="2"/>
  <c r="B388" i="2"/>
  <c r="K388" i="2"/>
  <c r="AE388" i="2"/>
  <c r="B389" i="2"/>
  <c r="K389" i="2"/>
  <c r="AE389" i="2"/>
  <c r="B390" i="2"/>
  <c r="K390" i="2"/>
  <c r="AE390" i="2"/>
  <c r="B391" i="2"/>
  <c r="K391" i="2"/>
  <c r="AE391" i="2"/>
  <c r="B392" i="2"/>
  <c r="K392" i="2"/>
  <c r="AE392" i="2"/>
  <c r="B393" i="2"/>
  <c r="K393" i="2"/>
  <c r="AE393" i="2"/>
  <c r="B394" i="2"/>
  <c r="K394" i="2"/>
  <c r="AE394" i="2"/>
  <c r="B395" i="2"/>
  <c r="K395" i="2"/>
  <c r="AE395" i="2"/>
  <c r="B396" i="2"/>
  <c r="K396" i="2"/>
  <c r="AE396" i="2"/>
  <c r="B397" i="2"/>
  <c r="K397" i="2"/>
  <c r="AE397" i="2"/>
  <c r="B398" i="2"/>
  <c r="K398" i="2"/>
  <c r="AE398" i="2"/>
  <c r="B399" i="2"/>
  <c r="K399" i="2"/>
  <c r="AE399" i="2"/>
  <c r="B400" i="2"/>
  <c r="K400" i="2"/>
  <c r="AE400" i="2"/>
  <c r="B401" i="2"/>
  <c r="K401" i="2"/>
  <c r="AE401" i="2"/>
  <c r="B402" i="2"/>
  <c r="K402" i="2"/>
  <c r="AE402" i="2"/>
  <c r="B403" i="2"/>
  <c r="K403" i="2" s="1"/>
  <c r="F403" i="2"/>
  <c r="T403" i="2"/>
  <c r="B410" i="2"/>
  <c r="B418" i="2"/>
  <c r="B419" i="2"/>
  <c r="B422" i="2"/>
  <c r="B423" i="2"/>
  <c r="B425" i="2"/>
  <c r="B428" i="2"/>
  <c r="B434" i="2"/>
  <c r="B436" i="2"/>
  <c r="B437" i="2"/>
  <c r="B444" i="2"/>
  <c r="B445" i="2"/>
  <c r="F453" i="2"/>
  <c r="F454" i="2"/>
  <c r="F455" i="2"/>
  <c r="F456" i="2"/>
  <c r="F457" i="2"/>
  <c r="H458" i="2"/>
  <c r="U458" i="2"/>
  <c r="AA458" i="2"/>
  <c r="AF458" i="2"/>
  <c r="AP458" i="2"/>
  <c r="AU458" i="2"/>
  <c r="AZ458" i="2"/>
  <c r="F459" i="2"/>
  <c r="F460" i="2"/>
  <c r="F461" i="2"/>
  <c r="F462" i="2"/>
  <c r="F463" i="2"/>
  <c r="K472" i="2"/>
  <c r="Y472" i="2"/>
  <c r="AP472" i="2"/>
  <c r="BG472" i="2"/>
  <c r="C514" i="2"/>
  <c r="B542" i="2"/>
  <c r="B544" i="2"/>
  <c r="A545" i="2"/>
  <c r="C545" i="2"/>
  <c r="A546" i="2"/>
  <c r="C546" i="2"/>
  <c r="A547" i="2"/>
  <c r="C547" i="2"/>
  <c r="A548" i="2"/>
  <c r="C548" i="2"/>
  <c r="A556" i="2"/>
  <c r="A557" i="2"/>
  <c r="A558" i="2"/>
  <c r="A567" i="2"/>
  <c r="B567" i="2"/>
  <c r="H567" i="2"/>
  <c r="I567" i="2"/>
  <c r="B568" i="2"/>
  <c r="I568" i="2"/>
  <c r="B569" i="2"/>
  <c r="I569" i="2"/>
  <c r="B570" i="2"/>
  <c r="I570" i="2"/>
  <c r="B571" i="2"/>
  <c r="I571" i="2"/>
  <c r="B572" i="2"/>
  <c r="I572" i="2"/>
  <c r="B573" i="2"/>
  <c r="I573" i="2"/>
  <c r="B574" i="2"/>
  <c r="H574" i="2"/>
  <c r="I574" i="2"/>
  <c r="B575" i="2"/>
  <c r="I575" i="2"/>
  <c r="B576" i="2"/>
  <c r="I576" i="2"/>
  <c r="B577" i="2"/>
  <c r="I577" i="2"/>
  <c r="B578" i="2"/>
  <c r="I578" i="2"/>
  <c r="B579" i="2"/>
  <c r="I579" i="2"/>
  <c r="B580" i="2"/>
  <c r="I580" i="2"/>
  <c r="B581" i="2"/>
  <c r="I581" i="2"/>
  <c r="B582" i="2"/>
  <c r="I582" i="2"/>
  <c r="B583" i="2"/>
  <c r="I583" i="2"/>
  <c r="B584" i="2"/>
  <c r="I584" i="2"/>
  <c r="B585" i="2"/>
  <c r="H585" i="2"/>
  <c r="I585" i="2"/>
  <c r="B586" i="2"/>
  <c r="I586" i="2"/>
  <c r="B587" i="2"/>
  <c r="I587" i="2"/>
  <c r="B588" i="2"/>
  <c r="I588" i="2"/>
  <c r="B589" i="2"/>
  <c r="I589" i="2"/>
  <c r="B590" i="2"/>
  <c r="I590" i="2"/>
  <c r="B591" i="2"/>
  <c r="I591" i="2"/>
  <c r="B592" i="2"/>
  <c r="H592" i="2"/>
  <c r="I592" i="2"/>
  <c r="A604" i="2"/>
  <c r="B6" i="1"/>
  <c r="E9" i="1" s="1"/>
  <c r="B11" i="1" s="1"/>
  <c r="B6" i="3" s="1"/>
  <c r="B35" i="1"/>
  <c r="B36" i="1"/>
  <c r="B37" i="1"/>
  <c r="B38" i="1"/>
  <c r="B39" i="1"/>
  <c r="B41" i="1"/>
  <c r="B44" i="1"/>
  <c r="B45" i="1"/>
  <c r="I3" i="8"/>
  <c r="I4" i="8"/>
  <c r="I5" i="8"/>
  <c r="I7" i="8"/>
  <c r="I8" i="8"/>
  <c r="I9" i="8"/>
  <c r="A1" i="3"/>
  <c r="B1" i="3"/>
  <c r="B3" i="3"/>
  <c r="C3" i="3"/>
  <c r="A5" i="3"/>
  <c r="B5" i="3"/>
  <c r="C5" i="3"/>
  <c r="A6" i="3"/>
  <c r="C6" i="3"/>
  <c r="A7" i="3"/>
  <c r="B7" i="3"/>
  <c r="C7" i="3"/>
  <c r="A8" i="3"/>
  <c r="B8" i="3"/>
  <c r="C8" i="3"/>
  <c r="A9" i="3"/>
  <c r="B9" i="3"/>
  <c r="C9" i="3"/>
  <c r="B10" i="3"/>
  <c r="B11" i="3"/>
  <c r="B253" i="2" l="1"/>
  <c r="B443" i="2"/>
  <c r="B166" i="2"/>
  <c r="B252" i="2"/>
  <c r="B442" i="2"/>
  <c r="B368" i="2"/>
  <c r="B61" i="2"/>
  <c r="F112" i="2" s="1"/>
  <c r="B164" i="2"/>
  <c r="B237" i="2"/>
  <c r="B427" i="2"/>
  <c r="B366" i="2"/>
  <c r="B77" i="2"/>
  <c r="E10" i="1"/>
  <c r="B163" i="2"/>
  <c r="B236" i="2"/>
  <c r="H245" i="2" s="1"/>
  <c r="H246" i="2" s="1"/>
  <c r="H247" i="2" s="1"/>
  <c r="B365" i="2"/>
  <c r="H364" i="2" s="1"/>
  <c r="H365" i="2" s="1"/>
  <c r="B426" i="2"/>
  <c r="H435" i="2" s="1"/>
  <c r="H436" i="2" s="1"/>
  <c r="H437" i="2" s="1"/>
  <c r="B165" i="2"/>
  <c r="B367" i="2"/>
  <c r="H363" i="2" s="1"/>
  <c r="H366" i="2" s="1"/>
  <c r="B14" i="2"/>
  <c r="B75" i="2"/>
  <c r="B57" i="2"/>
  <c r="I459" i="2"/>
  <c r="I460" i="2" s="1"/>
  <c r="I461" i="2" s="1"/>
  <c r="I462" i="2" s="1"/>
  <c r="I463" i="2" s="1"/>
  <c r="AE264" i="2"/>
  <c r="AI264" i="2"/>
  <c r="AA264" i="2"/>
  <c r="AB264" i="2"/>
  <c r="H166" i="2"/>
  <c r="B191" i="2"/>
  <c r="K190" i="2"/>
  <c r="B148" i="2"/>
  <c r="B80" i="2"/>
  <c r="C189" i="2" l="1"/>
  <c r="C188" i="2"/>
  <c r="B175" i="2"/>
  <c r="B176" i="2" s="1"/>
  <c r="C187" i="2"/>
  <c r="C195" i="2"/>
  <c r="C199" i="2"/>
  <c r="C203" i="2"/>
  <c r="C207" i="2"/>
  <c r="C194" i="2"/>
  <c r="C198" i="2"/>
  <c r="C202" i="2"/>
  <c r="C206" i="2"/>
  <c r="C210" i="2"/>
  <c r="C191" i="2"/>
  <c r="C193" i="2"/>
  <c r="C201" i="2"/>
  <c r="C209" i="2"/>
  <c r="C186" i="2"/>
  <c r="C197" i="2"/>
  <c r="C205" i="2"/>
  <c r="C192" i="2"/>
  <c r="C208" i="2"/>
  <c r="C190" i="2"/>
  <c r="C204" i="2"/>
  <c r="C200" i="2"/>
  <c r="C196" i="2"/>
  <c r="C85" i="2"/>
  <c r="I85" i="2" s="1"/>
  <c r="D85" i="2"/>
  <c r="E85" i="2" s="1"/>
  <c r="F104" i="2"/>
  <c r="F101" i="2"/>
  <c r="F109" i="2"/>
  <c r="F111" i="2"/>
  <c r="B243" i="2"/>
  <c r="H248" i="2" s="1"/>
  <c r="B433" i="2"/>
  <c r="H438" i="2" s="1"/>
  <c r="H368" i="2"/>
  <c r="B44" i="2"/>
  <c r="B15" i="2"/>
  <c r="B16" i="2" s="1"/>
  <c r="B4" i="3"/>
  <c r="B532" i="2"/>
  <c r="C379" i="2"/>
  <c r="C381" i="2"/>
  <c r="C383" i="2"/>
  <c r="C385" i="2"/>
  <c r="C387" i="2"/>
  <c r="C389" i="2"/>
  <c r="C391" i="2"/>
  <c r="C393" i="2"/>
  <c r="C395" i="2"/>
  <c r="C397" i="2"/>
  <c r="C399" i="2"/>
  <c r="C401" i="2"/>
  <c r="AD377" i="2"/>
  <c r="C378" i="2"/>
  <c r="C380" i="2"/>
  <c r="C382" i="2"/>
  <c r="C384" i="2"/>
  <c r="C386" i="2"/>
  <c r="C388" i="2"/>
  <c r="C390" i="2"/>
  <c r="C392" i="2"/>
  <c r="C394" i="2"/>
  <c r="C396" i="2"/>
  <c r="C398" i="2"/>
  <c r="C400" i="2"/>
  <c r="C402" i="2"/>
  <c r="AU87" i="2"/>
  <c r="AU88" i="2"/>
  <c r="AU85" i="2"/>
  <c r="AU91" i="2"/>
  <c r="AU92" i="2"/>
  <c r="AU86" i="2"/>
  <c r="AU90" i="2"/>
  <c r="AU94" i="2"/>
  <c r="AU97" i="2"/>
  <c r="AU93" i="2"/>
  <c r="AU98" i="2"/>
  <c r="AU101" i="2"/>
  <c r="AU106" i="2"/>
  <c r="AU89" i="2"/>
  <c r="AU103" i="2"/>
  <c r="AU104" i="2"/>
  <c r="AU95" i="2"/>
  <c r="AU102" i="2"/>
  <c r="AU105" i="2"/>
  <c r="AU109" i="2"/>
  <c r="AU99" i="2"/>
  <c r="AU107" i="2"/>
  <c r="AU110" i="2"/>
  <c r="AU111" i="2"/>
  <c r="AU96" i="2"/>
  <c r="AU100" i="2"/>
  <c r="AU108" i="2"/>
  <c r="K191" i="2"/>
  <c r="B192" i="2"/>
  <c r="I452" i="2"/>
  <c r="I453" i="2" s="1"/>
  <c r="I454" i="2" s="1"/>
  <c r="I455" i="2" s="1"/>
  <c r="I456" i="2" s="1"/>
  <c r="I457" i="2" s="1"/>
  <c r="J473" i="2"/>
  <c r="H161" i="2"/>
  <c r="G567" i="2"/>
  <c r="H162" i="2"/>
  <c r="H163" i="2" s="1"/>
  <c r="B76" i="2"/>
  <c r="B86" i="2" s="1"/>
  <c r="D86" i="2" s="1"/>
  <c r="E86" i="2" s="1"/>
  <c r="G264" i="2"/>
  <c r="J317" i="2"/>
  <c r="I296" i="2"/>
  <c r="I297" i="2" s="1"/>
  <c r="I298" i="2" s="1"/>
  <c r="I299" i="2" s="1"/>
  <c r="I300" i="2" s="1"/>
  <c r="I301" i="2" s="1"/>
  <c r="F567" i="2"/>
  <c r="F18" i="2" l="1"/>
  <c r="F22" i="2"/>
  <c r="F20" i="2"/>
  <c r="F24" i="2"/>
  <c r="F17" i="2"/>
  <c r="B25" i="2"/>
  <c r="F19" i="2"/>
  <c r="F21" i="2"/>
  <c r="F23" i="2"/>
  <c r="A599" i="2"/>
  <c r="A600" i="2"/>
  <c r="A601" i="2"/>
  <c r="A602" i="2"/>
  <c r="A603" i="2"/>
  <c r="D378" i="2"/>
  <c r="F102" i="2"/>
  <c r="F97" i="2"/>
  <c r="F105" i="2"/>
  <c r="F95" i="2"/>
  <c r="F94" i="2"/>
  <c r="F86" i="2"/>
  <c r="J318" i="2"/>
  <c r="AJ377" i="2"/>
  <c r="AI377" i="2"/>
  <c r="G265" i="2"/>
  <c r="S296" i="2"/>
  <c r="B193" i="2"/>
  <c r="K192" i="2"/>
  <c r="B533" i="2"/>
  <c r="B17" i="3"/>
  <c r="F108" i="2"/>
  <c r="F99" i="2"/>
  <c r="F100" i="2"/>
  <c r="F103" i="2"/>
  <c r="F96" i="2"/>
  <c r="F93" i="2"/>
  <c r="F91" i="2"/>
  <c r="F87" i="2"/>
  <c r="F89" i="2"/>
  <c r="C86" i="2"/>
  <c r="I86" i="2" s="1"/>
  <c r="B87" i="2"/>
  <c r="AM86" i="2"/>
  <c r="H164" i="2"/>
  <c r="J474" i="2"/>
  <c r="A605" i="2"/>
  <c r="AN473" i="2"/>
  <c r="AO473" i="2" s="1"/>
  <c r="F107" i="2"/>
  <c r="F110" i="2"/>
  <c r="F106" i="2"/>
  <c r="F98" i="2"/>
  <c r="F90" i="2"/>
  <c r="F92" i="2"/>
  <c r="F88" i="2"/>
  <c r="D186" i="2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J475" i="2" l="1"/>
  <c r="A606" i="2"/>
  <c r="AN474" i="2"/>
  <c r="AO474" i="2" s="1"/>
  <c r="J319" i="2"/>
  <c r="H34" i="2"/>
  <c r="B34" i="2"/>
  <c r="H35" i="2"/>
  <c r="B35" i="2"/>
  <c r="AN86" i="2"/>
  <c r="G266" i="2"/>
  <c r="F26" i="2"/>
  <c r="B42" i="2"/>
  <c r="F28" i="2"/>
  <c r="B38" i="2" s="1"/>
  <c r="D38" i="2" s="1"/>
  <c r="F27" i="2"/>
  <c r="B43" i="2"/>
  <c r="B88" i="2"/>
  <c r="C87" i="2"/>
  <c r="I87" i="2" s="1"/>
  <c r="AM87" i="2"/>
  <c r="D87" i="2"/>
  <c r="E87" i="2" s="1"/>
  <c r="B194" i="2"/>
  <c r="K193" i="2"/>
  <c r="D379" i="2"/>
  <c r="A568" i="2"/>
  <c r="AD378" i="2"/>
  <c r="H32" i="2"/>
  <c r="H39" i="2" s="1"/>
  <c r="B32" i="2"/>
  <c r="H33" i="2"/>
  <c r="B33" i="2"/>
  <c r="F568" i="2" l="1"/>
  <c r="G568" i="2"/>
  <c r="B55" i="2"/>
  <c r="B153" i="2"/>
  <c r="B355" i="2"/>
  <c r="B14" i="3"/>
  <c r="AN87" i="2"/>
  <c r="J320" i="2"/>
  <c r="J476" i="2"/>
  <c r="A607" i="2"/>
  <c r="AN475" i="2"/>
  <c r="AO475" i="2" s="1"/>
  <c r="C32" i="2"/>
  <c r="F32" i="2"/>
  <c r="B36" i="2" s="1"/>
  <c r="D32" i="2"/>
  <c r="D380" i="2"/>
  <c r="A569" i="2"/>
  <c r="AD379" i="2"/>
  <c r="G267" i="2"/>
  <c r="C34" i="2"/>
  <c r="D34" i="2"/>
  <c r="F34" i="2"/>
  <c r="C33" i="2"/>
  <c r="D33" i="2"/>
  <c r="F33" i="2"/>
  <c r="AI378" i="2"/>
  <c r="AJ378" i="2"/>
  <c r="K194" i="2"/>
  <c r="B195" i="2"/>
  <c r="B89" i="2"/>
  <c r="AM88" i="2"/>
  <c r="C88" i="2"/>
  <c r="I88" i="2" s="1"/>
  <c r="D88" i="2"/>
  <c r="E88" i="2" s="1"/>
  <c r="C35" i="2"/>
  <c r="D35" i="2"/>
  <c r="F35" i="2"/>
  <c r="B37" i="2"/>
  <c r="C36" i="2" l="1"/>
  <c r="D36" i="2"/>
  <c r="B39" i="2"/>
  <c r="C37" i="2"/>
  <c r="B46" i="2"/>
  <c r="B45" i="2" s="1"/>
  <c r="D37" i="2"/>
  <c r="B196" i="2"/>
  <c r="K195" i="2"/>
  <c r="AI379" i="2"/>
  <c r="AJ379" i="2"/>
  <c r="F569" i="2"/>
  <c r="G569" i="2"/>
  <c r="F39" i="2"/>
  <c r="B41" i="2"/>
  <c r="D381" i="2"/>
  <c r="A570" i="2"/>
  <c r="AD380" i="2"/>
  <c r="C38" i="2"/>
  <c r="J477" i="2"/>
  <c r="A608" i="2"/>
  <c r="AN476" i="2"/>
  <c r="AO476" i="2" s="1"/>
  <c r="B90" i="2"/>
  <c r="AM89" i="2"/>
  <c r="C89" i="2"/>
  <c r="I89" i="2" s="1"/>
  <c r="D89" i="2"/>
  <c r="E89" i="2" s="1"/>
  <c r="G268" i="2"/>
  <c r="D39" i="2"/>
  <c r="E38" i="2" s="1"/>
  <c r="J321" i="2"/>
  <c r="AN88" i="2"/>
  <c r="AN89" i="2" s="1"/>
  <c r="H175" i="2"/>
  <c r="H176" i="2"/>
  <c r="B219" i="2"/>
  <c r="J478" i="2" l="1"/>
  <c r="A609" i="2"/>
  <c r="AN477" i="2"/>
  <c r="AO477" i="2" s="1"/>
  <c r="D382" i="2"/>
  <c r="A571" i="2"/>
  <c r="AD381" i="2"/>
  <c r="J322" i="2"/>
  <c r="G269" i="2"/>
  <c r="E35" i="2"/>
  <c r="B197" i="2"/>
  <c r="K196" i="2"/>
  <c r="O175" i="2"/>
  <c r="E32" i="2"/>
  <c r="AM90" i="2"/>
  <c r="AN90" i="2" s="1"/>
  <c r="C90" i="2"/>
  <c r="B91" i="2"/>
  <c r="D90" i="2"/>
  <c r="E90" i="2" s="1"/>
  <c r="AJ380" i="2"/>
  <c r="AI380" i="2"/>
  <c r="E34" i="2"/>
  <c r="E37" i="2"/>
  <c r="E36" i="2"/>
  <c r="F570" i="2"/>
  <c r="G570" i="2"/>
  <c r="E33" i="2"/>
  <c r="B52" i="2"/>
  <c r="B47" i="2"/>
  <c r="B51" i="2"/>
  <c r="B534" i="2"/>
  <c r="B53" i="2" l="1"/>
  <c r="B92" i="2"/>
  <c r="C91" i="2"/>
  <c r="I91" i="2" s="1"/>
  <c r="AM91" i="2"/>
  <c r="D91" i="2"/>
  <c r="E91" i="2" s="1"/>
  <c r="B198" i="2"/>
  <c r="K197" i="2"/>
  <c r="J323" i="2"/>
  <c r="H47" i="2"/>
  <c r="B65" i="2"/>
  <c r="I90" i="2"/>
  <c r="O176" i="2"/>
  <c r="G270" i="2"/>
  <c r="AJ381" i="2"/>
  <c r="AI381" i="2"/>
  <c r="F571" i="2"/>
  <c r="G571" i="2"/>
  <c r="J479" i="2"/>
  <c r="A610" i="2"/>
  <c r="AN478" i="2"/>
  <c r="AO478" i="2" s="1"/>
  <c r="D383" i="2"/>
  <c r="A572" i="2"/>
  <c r="AD382" i="2"/>
  <c r="J324" i="2" l="1"/>
  <c r="F572" i="2"/>
  <c r="G572" i="2"/>
  <c r="D384" i="2"/>
  <c r="A573" i="2"/>
  <c r="AD383" i="2"/>
  <c r="J480" i="2"/>
  <c r="A611" i="2"/>
  <c r="AN479" i="2"/>
  <c r="AO479" i="2" s="1"/>
  <c r="B66" i="2"/>
  <c r="B68" i="2" s="1"/>
  <c r="B69" i="2" s="1"/>
  <c r="C65" i="2" s="1"/>
  <c r="B67" i="2"/>
  <c r="K198" i="2"/>
  <c r="B199" i="2"/>
  <c r="C92" i="2"/>
  <c r="I92" i="2" s="1"/>
  <c r="B93" i="2"/>
  <c r="AM92" i="2"/>
  <c r="D92" i="2"/>
  <c r="E92" i="2" s="1"/>
  <c r="BM90" i="2"/>
  <c r="BS90" i="2" s="1"/>
  <c r="BM86" i="2"/>
  <c r="BS86" i="2" s="1"/>
  <c r="BM89" i="2"/>
  <c r="BS89" i="2" s="1"/>
  <c r="BM87" i="2"/>
  <c r="BS87" i="2" s="1"/>
  <c r="BM95" i="2"/>
  <c r="BS95" i="2" s="1"/>
  <c r="BM96" i="2"/>
  <c r="BS96" i="2" s="1"/>
  <c r="BM88" i="2"/>
  <c r="BS88" i="2" s="1"/>
  <c r="BM94" i="2"/>
  <c r="BS94" i="2" s="1"/>
  <c r="BM92" i="2"/>
  <c r="BS92" i="2" s="1"/>
  <c r="BM93" i="2"/>
  <c r="BS93" i="2" s="1"/>
  <c r="BM97" i="2"/>
  <c r="BS97" i="2" s="1"/>
  <c r="BM99" i="2"/>
  <c r="BS99" i="2" s="1"/>
  <c r="BM100" i="2"/>
  <c r="BS100" i="2" s="1"/>
  <c r="BM98" i="2"/>
  <c r="BS98" i="2" s="1"/>
  <c r="BM101" i="2"/>
  <c r="BS101" i="2" s="1"/>
  <c r="BM106" i="2"/>
  <c r="BS106" i="2" s="1"/>
  <c r="BM103" i="2"/>
  <c r="BS103" i="2" s="1"/>
  <c r="BM104" i="2"/>
  <c r="BS104" i="2" s="1"/>
  <c r="BM105" i="2"/>
  <c r="BS105" i="2" s="1"/>
  <c r="BM107" i="2"/>
  <c r="BS107" i="2" s="1"/>
  <c r="BM108" i="2"/>
  <c r="BS108" i="2" s="1"/>
  <c r="BM91" i="2"/>
  <c r="BS91" i="2" s="1"/>
  <c r="BM109" i="2"/>
  <c r="BS109" i="2" s="1"/>
  <c r="BM102" i="2"/>
  <c r="BS102" i="2" s="1"/>
  <c r="BM110" i="2"/>
  <c r="BS110" i="2" s="1"/>
  <c r="G271" i="2"/>
  <c r="AI382" i="2"/>
  <c r="AJ382" i="2"/>
  <c r="AN91" i="2"/>
  <c r="AN92" i="2" s="1"/>
  <c r="C67" i="2" l="1"/>
  <c r="C66" i="2"/>
  <c r="C68" i="2" s="1"/>
  <c r="C69" i="2" s="1"/>
  <c r="D65" i="2" s="1"/>
  <c r="C93" i="2"/>
  <c r="I93" i="2" s="1"/>
  <c r="B94" i="2"/>
  <c r="AM93" i="2"/>
  <c r="AN93" i="2" s="1"/>
  <c r="D93" i="2"/>
  <c r="E93" i="2" s="1"/>
  <c r="D385" i="2"/>
  <c r="A574" i="2"/>
  <c r="AD384" i="2"/>
  <c r="B200" i="2"/>
  <c r="K199" i="2"/>
  <c r="J481" i="2"/>
  <c r="A612" i="2"/>
  <c r="AN480" i="2"/>
  <c r="AO480" i="2" s="1"/>
  <c r="AI383" i="2"/>
  <c r="AJ383" i="2"/>
  <c r="G272" i="2"/>
  <c r="F573" i="2"/>
  <c r="G573" i="2"/>
  <c r="J325" i="2"/>
  <c r="D66" i="2" l="1"/>
  <c r="D68" i="2" s="1"/>
  <c r="D67" i="2"/>
  <c r="B201" i="2"/>
  <c r="K200" i="2"/>
  <c r="AI384" i="2"/>
  <c r="AJ384" i="2"/>
  <c r="J326" i="2"/>
  <c r="J482" i="2"/>
  <c r="A613" i="2"/>
  <c r="F574" i="2"/>
  <c r="G574" i="2"/>
  <c r="AM94" i="2"/>
  <c r="C94" i="2"/>
  <c r="B95" i="2"/>
  <c r="D94" i="2"/>
  <c r="E94" i="2" s="1"/>
  <c r="G273" i="2"/>
  <c r="D386" i="2"/>
  <c r="A575" i="2"/>
  <c r="AD385" i="2"/>
  <c r="D387" i="2" l="1"/>
  <c r="A576" i="2"/>
  <c r="AD386" i="2"/>
  <c r="F575" i="2"/>
  <c r="G575" i="2"/>
  <c r="J483" i="2"/>
  <c r="A614" i="2"/>
  <c r="AN94" i="2"/>
  <c r="C95" i="2"/>
  <c r="I95" i="2" s="1"/>
  <c r="AM95" i="2"/>
  <c r="B96" i="2"/>
  <c r="D95" i="2"/>
  <c r="E95" i="2" s="1"/>
  <c r="J327" i="2"/>
  <c r="D69" i="2"/>
  <c r="E65" i="2" s="1"/>
  <c r="AJ385" i="2"/>
  <c r="AI385" i="2"/>
  <c r="G274" i="2"/>
  <c r="I94" i="2"/>
  <c r="B202" i="2"/>
  <c r="K201" i="2"/>
  <c r="K202" i="2" l="1"/>
  <c r="B203" i="2"/>
  <c r="G275" i="2"/>
  <c r="E67" i="2"/>
  <c r="E66" i="2"/>
  <c r="E68" i="2" s="1"/>
  <c r="E69" i="2" s="1"/>
  <c r="F65" i="2" s="1"/>
  <c r="J484" i="2"/>
  <c r="A615" i="2"/>
  <c r="AI386" i="2"/>
  <c r="AJ386" i="2"/>
  <c r="J328" i="2"/>
  <c r="AN95" i="2"/>
  <c r="F576" i="2"/>
  <c r="G576" i="2"/>
  <c r="AM96" i="2"/>
  <c r="C96" i="2"/>
  <c r="B97" i="2"/>
  <c r="D96" i="2"/>
  <c r="E96" i="2" s="1"/>
  <c r="D388" i="2"/>
  <c r="A577" i="2"/>
  <c r="AD387" i="2"/>
  <c r="F66" i="2" l="1"/>
  <c r="F68" i="2" s="1"/>
  <c r="F67" i="2"/>
  <c r="F577" i="2"/>
  <c r="G577" i="2"/>
  <c r="I96" i="2"/>
  <c r="AN96" i="2"/>
  <c r="G276" i="2"/>
  <c r="D389" i="2"/>
  <c r="A578" i="2"/>
  <c r="AD388" i="2"/>
  <c r="J329" i="2"/>
  <c r="J485" i="2"/>
  <c r="A616" i="2"/>
  <c r="B204" i="2"/>
  <c r="K203" i="2"/>
  <c r="AI387" i="2"/>
  <c r="AJ387" i="2"/>
  <c r="AM97" i="2"/>
  <c r="C97" i="2"/>
  <c r="B98" i="2"/>
  <c r="D97" i="2"/>
  <c r="E97" i="2" s="1"/>
  <c r="I97" i="2" l="1"/>
  <c r="J330" i="2"/>
  <c r="F578" i="2"/>
  <c r="G578" i="2"/>
  <c r="B205" i="2"/>
  <c r="K204" i="2"/>
  <c r="D390" i="2"/>
  <c r="A579" i="2"/>
  <c r="AD389" i="2"/>
  <c r="AN97" i="2"/>
  <c r="G277" i="2"/>
  <c r="F69" i="2"/>
  <c r="G65" i="2" s="1"/>
  <c r="AM98" i="2"/>
  <c r="C98" i="2"/>
  <c r="B99" i="2"/>
  <c r="D98" i="2"/>
  <c r="E98" i="2" s="1"/>
  <c r="J486" i="2"/>
  <c r="A617" i="2"/>
  <c r="AJ388" i="2"/>
  <c r="AI388" i="2"/>
  <c r="J487" i="2" l="1"/>
  <c r="A618" i="2"/>
  <c r="G67" i="2"/>
  <c r="G66" i="2"/>
  <c r="G68" i="2" s="1"/>
  <c r="AN98" i="2"/>
  <c r="AN99" i="2" s="1"/>
  <c r="C99" i="2"/>
  <c r="I99" i="2" s="1"/>
  <c r="AM99" i="2"/>
  <c r="B100" i="2"/>
  <c r="D99" i="2"/>
  <c r="E99" i="2" s="1"/>
  <c r="AJ389" i="2"/>
  <c r="AI389" i="2"/>
  <c r="B206" i="2"/>
  <c r="K205" i="2"/>
  <c r="G278" i="2"/>
  <c r="I98" i="2"/>
  <c r="F579" i="2"/>
  <c r="G579" i="2"/>
  <c r="D391" i="2"/>
  <c r="A580" i="2"/>
  <c r="AD390" i="2"/>
  <c r="J331" i="2"/>
  <c r="F580" i="2" l="1"/>
  <c r="G580" i="2"/>
  <c r="G279" i="2"/>
  <c r="J488" i="2"/>
  <c r="A619" i="2"/>
  <c r="D392" i="2"/>
  <c r="A581" i="2"/>
  <c r="AD391" i="2"/>
  <c r="J332" i="2"/>
  <c r="AI390" i="2"/>
  <c r="AJ390" i="2"/>
  <c r="K206" i="2"/>
  <c r="B207" i="2"/>
  <c r="AM100" i="2"/>
  <c r="B101" i="2"/>
  <c r="C100" i="2"/>
  <c r="I100" i="2" s="1"/>
  <c r="D100" i="2"/>
  <c r="E100" i="2" s="1"/>
  <c r="G69" i="2"/>
  <c r="H65" i="2" s="1"/>
  <c r="AM101" i="2" l="1"/>
  <c r="C101" i="2"/>
  <c r="I101" i="2" s="1"/>
  <c r="B102" i="2"/>
  <c r="D101" i="2"/>
  <c r="E101" i="2" s="1"/>
  <c r="F581" i="2"/>
  <c r="G581" i="2"/>
  <c r="G280" i="2"/>
  <c r="H66" i="2"/>
  <c r="H68" i="2" s="1"/>
  <c r="H69" i="2" s="1"/>
  <c r="I65" i="2" s="1"/>
  <c r="H67" i="2"/>
  <c r="D393" i="2"/>
  <c r="A582" i="2"/>
  <c r="AD392" i="2"/>
  <c r="J489" i="2"/>
  <c r="A620" i="2"/>
  <c r="B208" i="2"/>
  <c r="K207" i="2"/>
  <c r="J333" i="2"/>
  <c r="AN100" i="2"/>
  <c r="AN101" i="2" s="1"/>
  <c r="AI391" i="2"/>
  <c r="AJ391" i="2"/>
  <c r="I67" i="2" l="1"/>
  <c r="I66" i="2"/>
  <c r="I68" i="2" s="1"/>
  <c r="I69" i="2" s="1"/>
  <c r="J65" i="2" s="1"/>
  <c r="J334" i="2"/>
  <c r="B209" i="2"/>
  <c r="K208" i="2"/>
  <c r="F582" i="2"/>
  <c r="G582" i="2"/>
  <c r="D394" i="2"/>
  <c r="A583" i="2"/>
  <c r="AD393" i="2"/>
  <c r="C102" i="2"/>
  <c r="I102" i="2" s="1"/>
  <c r="B103" i="2"/>
  <c r="AM102" i="2"/>
  <c r="D102" i="2"/>
  <c r="E102" i="2" s="1"/>
  <c r="AN102" i="2"/>
  <c r="J490" i="2"/>
  <c r="A621" i="2"/>
  <c r="AI392" i="2"/>
  <c r="AJ392" i="2"/>
  <c r="G281" i="2"/>
  <c r="J66" i="2" l="1"/>
  <c r="H85" i="2"/>
  <c r="H86" i="2"/>
  <c r="H87" i="2" s="1"/>
  <c r="H88" i="2" s="1"/>
  <c r="H89" i="2" s="1"/>
  <c r="H90" i="2" s="1"/>
  <c r="H91" i="2" s="1"/>
  <c r="H92" i="2" s="1"/>
  <c r="H93" i="2" s="1"/>
  <c r="H94" i="2" s="1"/>
  <c r="H95" i="2" s="1"/>
  <c r="J67" i="2"/>
  <c r="B240" i="2"/>
  <c r="B430" i="2"/>
  <c r="AJ393" i="2"/>
  <c r="AI393" i="2"/>
  <c r="G282" i="2"/>
  <c r="F583" i="2"/>
  <c r="G583" i="2"/>
  <c r="J491" i="2"/>
  <c r="A622" i="2"/>
  <c r="B104" i="2"/>
  <c r="C103" i="2"/>
  <c r="I103" i="2" s="1"/>
  <c r="AM103" i="2"/>
  <c r="AN103" i="2" s="1"/>
  <c r="D103" i="2"/>
  <c r="E103" i="2" s="1"/>
  <c r="D395" i="2"/>
  <c r="A584" i="2"/>
  <c r="AD394" i="2"/>
  <c r="B210" i="2"/>
  <c r="K209" i="2"/>
  <c r="J335" i="2"/>
  <c r="J336" i="2" l="1"/>
  <c r="J492" i="2"/>
  <c r="A623" i="2"/>
  <c r="G283" i="2"/>
  <c r="J88" i="2"/>
  <c r="J89" i="2"/>
  <c r="J85" i="2"/>
  <c r="J92" i="2"/>
  <c r="J90" i="2"/>
  <c r="J91" i="2"/>
  <c r="J93" i="2"/>
  <c r="J94" i="2"/>
  <c r="J86" i="2"/>
  <c r="J96" i="2"/>
  <c r="J97" i="2"/>
  <c r="J95" i="2"/>
  <c r="J98" i="2"/>
  <c r="J103" i="2"/>
  <c r="J100" i="2"/>
  <c r="J101" i="2"/>
  <c r="J87" i="2"/>
  <c r="J102" i="2"/>
  <c r="J99" i="2"/>
  <c r="D396" i="2"/>
  <c r="A585" i="2"/>
  <c r="AD395" i="2"/>
  <c r="B105" i="2"/>
  <c r="C104" i="2"/>
  <c r="AM104" i="2"/>
  <c r="D104" i="2"/>
  <c r="E104" i="2" s="1"/>
  <c r="H96" i="2"/>
  <c r="H97" i="2" s="1"/>
  <c r="H98" i="2" s="1"/>
  <c r="H99" i="2" s="1"/>
  <c r="H100" i="2" s="1"/>
  <c r="H101" i="2" s="1"/>
  <c r="H102" i="2" s="1"/>
  <c r="H103" i="2" s="1"/>
  <c r="H104" i="2" s="1"/>
  <c r="H105" i="2" s="1"/>
  <c r="H106" i="2" s="1"/>
  <c r="H107" i="2" s="1"/>
  <c r="H108" i="2" s="1"/>
  <c r="H109" i="2" s="1"/>
  <c r="H110" i="2" s="1"/>
  <c r="H111" i="2"/>
  <c r="K210" i="2"/>
  <c r="B211" i="2"/>
  <c r="K211" i="2" s="1"/>
  <c r="F584" i="2"/>
  <c r="G584" i="2"/>
  <c r="AI394" i="2"/>
  <c r="AJ394" i="2"/>
  <c r="B71" i="2"/>
  <c r="J68" i="2"/>
  <c r="J69" i="2" s="1"/>
  <c r="BP84" i="2"/>
  <c r="G85" i="2"/>
  <c r="AQ85" i="2"/>
  <c r="AR85" i="2" l="1"/>
  <c r="AV85" i="2"/>
  <c r="AW85" i="2" s="1"/>
  <c r="AX85" i="2" s="1"/>
  <c r="AZ85" i="2"/>
  <c r="BA85" i="2"/>
  <c r="BJ85" i="2" s="1"/>
  <c r="BD85" i="2"/>
  <c r="F585" i="2"/>
  <c r="G585" i="2"/>
  <c r="K99" i="2"/>
  <c r="L99" i="2"/>
  <c r="K87" i="2"/>
  <c r="L87" i="2" s="1"/>
  <c r="K86" i="2"/>
  <c r="L86" i="2"/>
  <c r="M86" i="2" s="1"/>
  <c r="L90" i="2"/>
  <c r="K90" i="2"/>
  <c r="K88" i="2"/>
  <c r="L88" i="2"/>
  <c r="BL85" i="2"/>
  <c r="I104" i="2"/>
  <c r="J104" i="2" s="1"/>
  <c r="D397" i="2"/>
  <c r="A586" i="2"/>
  <c r="AD396" i="2"/>
  <c r="K103" i="2"/>
  <c r="L103" i="2"/>
  <c r="K94" i="2"/>
  <c r="L94" i="2"/>
  <c r="K92" i="2"/>
  <c r="L92" i="2"/>
  <c r="C105" i="2"/>
  <c r="B106" i="2"/>
  <c r="AM105" i="2"/>
  <c r="D105" i="2"/>
  <c r="E105" i="2" s="1"/>
  <c r="L101" i="2"/>
  <c r="K101" i="2"/>
  <c r="K98" i="2"/>
  <c r="L98" i="2"/>
  <c r="L97" i="2"/>
  <c r="K97" i="2"/>
  <c r="K93" i="2"/>
  <c r="L93" i="2"/>
  <c r="K85" i="2"/>
  <c r="G284" i="2"/>
  <c r="J493" i="2"/>
  <c r="A624" i="2"/>
  <c r="AI395" i="2"/>
  <c r="AJ395" i="2"/>
  <c r="K102" i="2"/>
  <c r="L102" i="2" s="1"/>
  <c r="L100" i="2"/>
  <c r="K100" i="2"/>
  <c r="K95" i="2"/>
  <c r="L95" i="2" s="1"/>
  <c r="L96" i="2"/>
  <c r="K96" i="2"/>
  <c r="L91" i="2"/>
  <c r="K91" i="2"/>
  <c r="K89" i="2"/>
  <c r="L89" i="2" s="1"/>
  <c r="J337" i="2"/>
  <c r="AN104" i="2"/>
  <c r="AN105" i="2" s="1"/>
  <c r="N89" i="2" l="1"/>
  <c r="O89" i="2"/>
  <c r="P89" i="2"/>
  <c r="M89" i="2"/>
  <c r="M87" i="2"/>
  <c r="N87" i="2"/>
  <c r="O102" i="2"/>
  <c r="S102" i="2"/>
  <c r="W102" i="2"/>
  <c r="AA102" i="2"/>
  <c r="P102" i="2"/>
  <c r="T102" i="2"/>
  <c r="X102" i="2"/>
  <c r="AB102" i="2"/>
  <c r="M102" i="2"/>
  <c r="Q102" i="2"/>
  <c r="U102" i="2"/>
  <c r="Y102" i="2"/>
  <c r="V102" i="2"/>
  <c r="Z102" i="2"/>
  <c r="N102" i="2"/>
  <c r="R102" i="2"/>
  <c r="AC102" i="2" s="1"/>
  <c r="O95" i="2"/>
  <c r="S95" i="2"/>
  <c r="P95" i="2"/>
  <c r="T95" i="2"/>
  <c r="M95" i="2"/>
  <c r="Q95" i="2"/>
  <c r="U95" i="2"/>
  <c r="V95" i="2"/>
  <c r="N95" i="2"/>
  <c r="R95" i="2"/>
  <c r="K104" i="2"/>
  <c r="L104" i="2"/>
  <c r="P91" i="2"/>
  <c r="M91" i="2"/>
  <c r="Q91" i="2"/>
  <c r="N91" i="2"/>
  <c r="R91" i="2"/>
  <c r="O91" i="2"/>
  <c r="A625" i="2"/>
  <c r="J494" i="2"/>
  <c r="AM106" i="2"/>
  <c r="C106" i="2"/>
  <c r="B107" i="2"/>
  <c r="D106" i="2"/>
  <c r="E106" i="2" s="1"/>
  <c r="M94" i="2"/>
  <c r="Q94" i="2"/>
  <c r="N94" i="2"/>
  <c r="U94" i="2" s="1"/>
  <c r="R94" i="2"/>
  <c r="O94" i="2"/>
  <c r="S94" i="2"/>
  <c r="P94" i="2"/>
  <c r="T94" i="2"/>
  <c r="AJ396" i="2"/>
  <c r="AI396" i="2"/>
  <c r="BF85" i="2"/>
  <c r="BE85" i="2"/>
  <c r="J338" i="2"/>
  <c r="G285" i="2"/>
  <c r="L85" i="2"/>
  <c r="P97" i="2"/>
  <c r="T97" i="2"/>
  <c r="M97" i="2"/>
  <c r="X97" i="2" s="1"/>
  <c r="Q97" i="2"/>
  <c r="U97" i="2"/>
  <c r="R97" i="2"/>
  <c r="S97" i="2"/>
  <c r="N97" i="2"/>
  <c r="V97" i="2"/>
  <c r="W97" i="2"/>
  <c r="O97" i="2"/>
  <c r="P101" i="2"/>
  <c r="T101" i="2"/>
  <c r="X101" i="2"/>
  <c r="M101" i="2"/>
  <c r="AB101" i="2" s="1"/>
  <c r="Q101" i="2"/>
  <c r="U101" i="2"/>
  <c r="Y101" i="2"/>
  <c r="N101" i="2"/>
  <c r="R101" i="2"/>
  <c r="V101" i="2"/>
  <c r="Z101" i="2"/>
  <c r="O101" i="2"/>
  <c r="S101" i="2"/>
  <c r="W101" i="2"/>
  <c r="AA101" i="2"/>
  <c r="I105" i="2"/>
  <c r="J105" i="2" s="1"/>
  <c r="F586" i="2"/>
  <c r="G586" i="2"/>
  <c r="M90" i="2"/>
  <c r="N90" i="2"/>
  <c r="Q90" i="2" s="1"/>
  <c r="O90" i="2"/>
  <c r="P90" i="2"/>
  <c r="P96" i="2"/>
  <c r="T96" i="2"/>
  <c r="M96" i="2"/>
  <c r="Q96" i="2"/>
  <c r="U96" i="2"/>
  <c r="N96" i="2"/>
  <c r="R96" i="2"/>
  <c r="V96" i="2"/>
  <c r="S96" i="2"/>
  <c r="W96" i="2"/>
  <c r="O96" i="2"/>
  <c r="P100" i="2"/>
  <c r="T100" i="2"/>
  <c r="X100" i="2"/>
  <c r="M100" i="2"/>
  <c r="Q100" i="2"/>
  <c r="U100" i="2"/>
  <c r="Y100" i="2"/>
  <c r="N100" i="2"/>
  <c r="R100" i="2"/>
  <c r="V100" i="2"/>
  <c r="Z100" i="2"/>
  <c r="W100" i="2"/>
  <c r="O100" i="2"/>
  <c r="AA100" i="2" s="1"/>
  <c r="S100" i="2"/>
  <c r="N93" i="2"/>
  <c r="R93" i="2"/>
  <c r="O93" i="2"/>
  <c r="S93" i="2"/>
  <c r="P93" i="2"/>
  <c r="M93" i="2"/>
  <c r="T93" i="2" s="1"/>
  <c r="Q93" i="2"/>
  <c r="M98" i="2"/>
  <c r="Q98" i="2"/>
  <c r="U98" i="2"/>
  <c r="N98" i="2"/>
  <c r="R98" i="2"/>
  <c r="V98" i="2"/>
  <c r="O98" i="2"/>
  <c r="Y98" i="2" s="1"/>
  <c r="S98" i="2"/>
  <c r="W98" i="2"/>
  <c r="X98" i="2"/>
  <c r="P98" i="2"/>
  <c r="T98" i="2"/>
  <c r="M92" i="2"/>
  <c r="Q92" i="2"/>
  <c r="N92" i="2"/>
  <c r="S92" i="2" s="1"/>
  <c r="R92" i="2"/>
  <c r="O92" i="2"/>
  <c r="P92" i="2"/>
  <c r="M103" i="2"/>
  <c r="Q103" i="2"/>
  <c r="U103" i="2"/>
  <c r="Y103" i="2"/>
  <c r="AC103" i="2"/>
  <c r="N103" i="2"/>
  <c r="R103" i="2"/>
  <c r="V103" i="2"/>
  <c r="Z103" i="2"/>
  <c r="O103" i="2"/>
  <c r="AD103" i="2" s="1"/>
  <c r="S103" i="2"/>
  <c r="W103" i="2"/>
  <c r="AA103" i="2"/>
  <c r="AB103" i="2"/>
  <c r="P103" i="2"/>
  <c r="T103" i="2"/>
  <c r="X103" i="2"/>
  <c r="D398" i="2"/>
  <c r="A587" i="2"/>
  <c r="AD397" i="2"/>
  <c r="N88" i="2"/>
  <c r="M88" i="2"/>
  <c r="O88" i="2"/>
  <c r="O99" i="2"/>
  <c r="S99" i="2"/>
  <c r="W99" i="2"/>
  <c r="P99" i="2"/>
  <c r="T99" i="2"/>
  <c r="X99" i="2"/>
  <c r="M99" i="2"/>
  <c r="Z99" i="2" s="1"/>
  <c r="Q99" i="2"/>
  <c r="U99" i="2"/>
  <c r="Y99" i="2"/>
  <c r="N99" i="2"/>
  <c r="R99" i="2"/>
  <c r="V99" i="2"/>
  <c r="BK85" i="2"/>
  <c r="AS85" i="2"/>
  <c r="AT85" i="2" s="1"/>
  <c r="AY85" i="2" s="1"/>
  <c r="AJ397" i="2" l="1"/>
  <c r="AI397" i="2"/>
  <c r="G286" i="2"/>
  <c r="BG85" i="2"/>
  <c r="BH85" i="2" s="1"/>
  <c r="F587" i="2"/>
  <c r="G587" i="2"/>
  <c r="D399" i="2"/>
  <c r="A588" i="2"/>
  <c r="AD398" i="2"/>
  <c r="K105" i="2"/>
  <c r="C107" i="2"/>
  <c r="I107" i="2" s="1"/>
  <c r="J107" i="2" s="1"/>
  <c r="AM107" i="2"/>
  <c r="B108" i="2"/>
  <c r="D107" i="2"/>
  <c r="E107" i="2" s="1"/>
  <c r="A626" i="2"/>
  <c r="J495" i="2"/>
  <c r="N104" i="2"/>
  <c r="R104" i="2"/>
  <c r="V104" i="2"/>
  <c r="Z104" i="2"/>
  <c r="AD104" i="2"/>
  <c r="O104" i="2"/>
  <c r="S104" i="2"/>
  <c r="W104" i="2"/>
  <c r="AA104" i="2"/>
  <c r="P104" i="2"/>
  <c r="T104" i="2"/>
  <c r="X104" i="2"/>
  <c r="AB104" i="2"/>
  <c r="Q104" i="2"/>
  <c r="U104" i="2"/>
  <c r="Y104" i="2"/>
  <c r="M104" i="2"/>
  <c r="AE104" i="2" s="1"/>
  <c r="AC104" i="2"/>
  <c r="AN106" i="2"/>
  <c r="AN107" i="2" s="1"/>
  <c r="J339" i="2"/>
  <c r="I106" i="2"/>
  <c r="J106" i="2" s="1"/>
  <c r="AM108" i="2" l="1"/>
  <c r="B109" i="2"/>
  <c r="C108" i="2"/>
  <c r="I108" i="2" s="1"/>
  <c r="J108" i="2" s="1"/>
  <c r="D108" i="2"/>
  <c r="E108" i="2" s="1"/>
  <c r="G287" i="2"/>
  <c r="AN108" i="2"/>
  <c r="AI398" i="2"/>
  <c r="AJ398" i="2"/>
  <c r="J340" i="2"/>
  <c r="J496" i="2"/>
  <c r="A627" i="2"/>
  <c r="K107" i="2"/>
  <c r="L107" i="2"/>
  <c r="F588" i="2"/>
  <c r="G588" i="2"/>
  <c r="K106" i="2"/>
  <c r="L106" i="2"/>
  <c r="L105" i="2"/>
  <c r="D400" i="2"/>
  <c r="A589" i="2"/>
  <c r="AD399" i="2"/>
  <c r="M106" i="2" l="1"/>
  <c r="Q106" i="2"/>
  <c r="U106" i="2"/>
  <c r="Y106" i="2"/>
  <c r="AC106" i="2"/>
  <c r="N106" i="2"/>
  <c r="AG106" i="2" s="1"/>
  <c r="R106" i="2"/>
  <c r="V106" i="2"/>
  <c r="Z106" i="2"/>
  <c r="AD106" i="2"/>
  <c r="O106" i="2"/>
  <c r="S106" i="2"/>
  <c r="W106" i="2"/>
  <c r="AA106" i="2"/>
  <c r="AE106" i="2"/>
  <c r="X106" i="2"/>
  <c r="AB106" i="2"/>
  <c r="P106" i="2"/>
  <c r="AF106" i="2"/>
  <c r="T106" i="2"/>
  <c r="O107" i="2"/>
  <c r="S107" i="2"/>
  <c r="W107" i="2"/>
  <c r="AA107" i="2"/>
  <c r="AE107" i="2"/>
  <c r="P107" i="2"/>
  <c r="T107" i="2"/>
  <c r="X107" i="2"/>
  <c r="AB107" i="2"/>
  <c r="AF107" i="2"/>
  <c r="M107" i="2"/>
  <c r="Q107" i="2"/>
  <c r="U107" i="2"/>
  <c r="Y107" i="2"/>
  <c r="AC107" i="2"/>
  <c r="Z107" i="2"/>
  <c r="N107" i="2"/>
  <c r="AD107" i="2"/>
  <c r="R107" i="2"/>
  <c r="AH107" i="2" s="1"/>
  <c r="AG107" i="2"/>
  <c r="V107" i="2"/>
  <c r="A628" i="2"/>
  <c r="J497" i="2"/>
  <c r="G288" i="2"/>
  <c r="K108" i="2"/>
  <c r="L108" i="2" s="1"/>
  <c r="D401" i="2"/>
  <c r="A590" i="2"/>
  <c r="AD400" i="2"/>
  <c r="AI399" i="2"/>
  <c r="AJ399" i="2"/>
  <c r="F589" i="2"/>
  <c r="G589" i="2"/>
  <c r="J341" i="2"/>
  <c r="AM109" i="2"/>
  <c r="AN109" i="2" s="1"/>
  <c r="C109" i="2"/>
  <c r="B110" i="2"/>
  <c r="B242" i="2"/>
  <c r="B432" i="2"/>
  <c r="D109" i="2"/>
  <c r="E109" i="2" s="1"/>
  <c r="N105" i="2"/>
  <c r="R105" i="2"/>
  <c r="V105" i="2"/>
  <c r="Z105" i="2"/>
  <c r="AD105" i="2"/>
  <c r="O105" i="2"/>
  <c r="S105" i="2"/>
  <c r="W105" i="2"/>
  <c r="AA105" i="2"/>
  <c r="AE105" i="2"/>
  <c r="P105" i="2"/>
  <c r="T105" i="2"/>
  <c r="X105" i="2"/>
  <c r="AB105" i="2"/>
  <c r="U105" i="2"/>
  <c r="Y105" i="2"/>
  <c r="M105" i="2"/>
  <c r="AF105" i="2" s="1"/>
  <c r="AC105" i="2"/>
  <c r="Q105" i="2"/>
  <c r="P108" i="2" l="1"/>
  <c r="T108" i="2"/>
  <c r="X108" i="2"/>
  <c r="AB108" i="2"/>
  <c r="AF108" i="2"/>
  <c r="M108" i="2"/>
  <c r="AI108" i="2" s="1"/>
  <c r="Q108" i="2"/>
  <c r="U108" i="2"/>
  <c r="Y108" i="2"/>
  <c r="AC108" i="2"/>
  <c r="AG108" i="2"/>
  <c r="N108" i="2"/>
  <c r="R108" i="2"/>
  <c r="V108" i="2"/>
  <c r="Z108" i="2"/>
  <c r="AD108" i="2"/>
  <c r="AH108" i="2"/>
  <c r="S108" i="2"/>
  <c r="W108" i="2"/>
  <c r="AA108" i="2"/>
  <c r="AE108" i="2"/>
  <c r="O108" i="2"/>
  <c r="H249" i="2"/>
  <c r="H250" i="2"/>
  <c r="D402" i="2"/>
  <c r="A591" i="2"/>
  <c r="AD401" i="2"/>
  <c r="C110" i="2"/>
  <c r="I110" i="2" s="1"/>
  <c r="J110" i="2" s="1"/>
  <c r="B111" i="2"/>
  <c r="D111" i="2" s="1"/>
  <c r="AM110" i="2"/>
  <c r="D110" i="2"/>
  <c r="E110" i="2" s="1"/>
  <c r="J342" i="2"/>
  <c r="I109" i="2"/>
  <c r="J109" i="2" s="1"/>
  <c r="AI400" i="2"/>
  <c r="AJ400" i="2"/>
  <c r="A629" i="2"/>
  <c r="J498" i="2"/>
  <c r="H439" i="2"/>
  <c r="H440" i="2"/>
  <c r="F590" i="2"/>
  <c r="G590" i="2"/>
  <c r="G289" i="2"/>
  <c r="BG342" i="2" l="1"/>
  <c r="AP342" i="2"/>
  <c r="K342" i="2"/>
  <c r="Y342" i="2"/>
  <c r="F591" i="2"/>
  <c r="G591" i="2"/>
  <c r="AN110" i="2"/>
  <c r="AN111" i="2" s="1"/>
  <c r="V289" i="2"/>
  <c r="H289" i="2"/>
  <c r="BG498" i="2"/>
  <c r="AP498" i="2"/>
  <c r="K498" i="2"/>
  <c r="Y498" i="2"/>
  <c r="K109" i="2"/>
  <c r="L109" i="2" s="1"/>
  <c r="E111" i="2"/>
  <c r="I111" i="2"/>
  <c r="J111" i="2" s="1"/>
  <c r="D403" i="2"/>
  <c r="A592" i="2"/>
  <c r="AD402" i="2"/>
  <c r="K110" i="2"/>
  <c r="L110" i="2" s="1"/>
  <c r="AJ401" i="2"/>
  <c r="AI401" i="2"/>
  <c r="P109" i="2" l="1"/>
  <c r="T109" i="2"/>
  <c r="X109" i="2"/>
  <c r="AB109" i="2"/>
  <c r="AF109" i="2"/>
  <c r="M109" i="2"/>
  <c r="AJ109" i="2" s="1"/>
  <c r="Q109" i="2"/>
  <c r="U109" i="2"/>
  <c r="Y109" i="2"/>
  <c r="AC109" i="2"/>
  <c r="AG109" i="2"/>
  <c r="N109" i="2"/>
  <c r="R109" i="2"/>
  <c r="V109" i="2"/>
  <c r="Z109" i="2"/>
  <c r="AD109" i="2"/>
  <c r="AH109" i="2"/>
  <c r="S109" i="2"/>
  <c r="AI109" i="2"/>
  <c r="W109" i="2"/>
  <c r="AA109" i="2"/>
  <c r="AE109" i="2"/>
  <c r="O109" i="2"/>
  <c r="O110" i="2"/>
  <c r="S110" i="2"/>
  <c r="W110" i="2"/>
  <c r="AA110" i="2"/>
  <c r="AE110" i="2"/>
  <c r="AI110" i="2"/>
  <c r="P110" i="2"/>
  <c r="T110" i="2"/>
  <c r="X110" i="2"/>
  <c r="AB110" i="2"/>
  <c r="AF110" i="2"/>
  <c r="AJ110" i="2"/>
  <c r="M110" i="2"/>
  <c r="AK110" i="2" s="1"/>
  <c r="Q110" i="2"/>
  <c r="U110" i="2"/>
  <c r="Y110" i="2"/>
  <c r="AC110" i="2"/>
  <c r="AG110" i="2"/>
  <c r="R110" i="2"/>
  <c r="AH110" i="2"/>
  <c r="V110" i="2"/>
  <c r="Z110" i="2"/>
  <c r="AD110" i="2"/>
  <c r="N110" i="2"/>
  <c r="F592" i="2"/>
  <c r="G592" i="2"/>
  <c r="K111" i="2"/>
  <c r="AI402" i="2"/>
  <c r="AJ402" i="2"/>
  <c r="K112" i="2" l="1"/>
  <c r="C118" i="2" s="1"/>
  <c r="C123" i="2"/>
  <c r="L111" i="2"/>
  <c r="O111" i="2" l="1"/>
  <c r="BN87" i="2" s="1"/>
  <c r="BT87" i="2" s="1"/>
  <c r="S111" i="2"/>
  <c r="BN91" i="2" s="1"/>
  <c r="BT91" i="2" s="1"/>
  <c r="W111" i="2"/>
  <c r="BN95" i="2" s="1"/>
  <c r="BT95" i="2" s="1"/>
  <c r="AA111" i="2"/>
  <c r="BN99" i="2" s="1"/>
  <c r="BT99" i="2" s="1"/>
  <c r="AE111" i="2"/>
  <c r="BN103" i="2" s="1"/>
  <c r="BT103" i="2" s="1"/>
  <c r="AI111" i="2"/>
  <c r="BN107" i="2" s="1"/>
  <c r="BT107" i="2" s="1"/>
  <c r="P111" i="2"/>
  <c r="BN88" i="2" s="1"/>
  <c r="BT88" i="2" s="1"/>
  <c r="T111" i="2"/>
  <c r="BN92" i="2" s="1"/>
  <c r="BT92" i="2" s="1"/>
  <c r="X111" i="2"/>
  <c r="BN96" i="2" s="1"/>
  <c r="BT96" i="2" s="1"/>
  <c r="AB111" i="2"/>
  <c r="BN100" i="2" s="1"/>
  <c r="BT100" i="2" s="1"/>
  <c r="AF111" i="2"/>
  <c r="BN104" i="2" s="1"/>
  <c r="BT104" i="2" s="1"/>
  <c r="AJ111" i="2"/>
  <c r="BN108" i="2" s="1"/>
  <c r="BT108" i="2" s="1"/>
  <c r="M111" i="2"/>
  <c r="BN85" i="2" s="1"/>
  <c r="Q111" i="2"/>
  <c r="BN89" i="2" s="1"/>
  <c r="BT89" i="2" s="1"/>
  <c r="U111" i="2"/>
  <c r="BN93" i="2" s="1"/>
  <c r="BT93" i="2" s="1"/>
  <c r="Y111" i="2"/>
  <c r="BN97" i="2" s="1"/>
  <c r="BT97" i="2" s="1"/>
  <c r="AC111" i="2"/>
  <c r="BN101" i="2" s="1"/>
  <c r="BT101" i="2" s="1"/>
  <c r="AG111" i="2"/>
  <c r="BN105" i="2" s="1"/>
  <c r="BT105" i="2" s="1"/>
  <c r="AK111" i="2"/>
  <c r="BN109" i="2" s="1"/>
  <c r="BT109" i="2" s="1"/>
  <c r="R111" i="2"/>
  <c r="BN90" i="2" s="1"/>
  <c r="BT90" i="2" s="1"/>
  <c r="AH111" i="2"/>
  <c r="BN106" i="2" s="1"/>
  <c r="BT106" i="2" s="1"/>
  <c r="V111" i="2"/>
  <c r="BN94" i="2" s="1"/>
  <c r="BT94" i="2" s="1"/>
  <c r="Z111" i="2"/>
  <c r="BN98" i="2" s="1"/>
  <c r="BT98" i="2" s="1"/>
  <c r="AD111" i="2"/>
  <c r="BN102" i="2" s="1"/>
  <c r="BT102" i="2" s="1"/>
  <c r="N111" i="2"/>
  <c r="BN86" i="2" s="1"/>
  <c r="BT86" i="2" s="1"/>
  <c r="B545" i="2"/>
  <c r="AL111" i="2" l="1"/>
  <c r="BN110" i="2" s="1"/>
  <c r="BT110" i="2" s="1"/>
  <c r="BT85" i="2"/>
  <c r="BO85" i="2"/>
  <c r="BP85" i="2" s="1"/>
  <c r="BR85" i="2" l="1"/>
  <c r="BQ85" i="2"/>
  <c r="BU85" i="2" l="1"/>
  <c r="G86" i="2" l="1"/>
  <c r="AQ86" i="2"/>
  <c r="BA86" i="2" l="1"/>
  <c r="AV86" i="2"/>
  <c r="AW86" i="2" s="1"/>
  <c r="AR86" i="2"/>
  <c r="AS86" i="2" s="1"/>
  <c r="AT86" i="2" s="1"/>
  <c r="AZ86" i="2"/>
  <c r="BL86" i="2"/>
  <c r="BB86" i="2" l="1"/>
  <c r="BC86" i="2" s="1"/>
  <c r="AX86" i="2"/>
  <c r="AP86" i="2" s="1"/>
  <c r="AY86" i="2" s="1"/>
  <c r="BI86" i="2"/>
  <c r="BJ86" i="2" s="1"/>
  <c r="BK86" i="2" l="1"/>
  <c r="BO86" i="2" s="1"/>
  <c r="BP86" i="2" s="1"/>
  <c r="BR86" i="2" s="1"/>
  <c r="BQ86" i="2" l="1"/>
  <c r="BU86" i="2" l="1"/>
  <c r="G87" i="2" l="1"/>
  <c r="AQ87" i="2"/>
  <c r="AZ87" i="2" l="1"/>
  <c r="AV87" i="2"/>
  <c r="AW87" i="2" s="1"/>
  <c r="BA87" i="2"/>
  <c r="AR87" i="2"/>
  <c r="AS87" i="2" s="1"/>
  <c r="AT87" i="2" s="1"/>
  <c r="BL87" i="2"/>
  <c r="AX87" i="2" l="1"/>
  <c r="AP87" i="2" s="1"/>
  <c r="AY87" i="2" s="1"/>
  <c r="BB87" i="2"/>
  <c r="BC87" i="2" s="1"/>
  <c r="BI87" i="2" s="1"/>
  <c r="BJ87" i="2" s="1"/>
  <c r="BK87" i="2" l="1"/>
  <c r="BO87" i="2" s="1"/>
  <c r="BP87" i="2" s="1"/>
  <c r="BR87" i="2" s="1"/>
  <c r="BQ87" i="2" l="1"/>
  <c r="BU87" i="2" l="1"/>
  <c r="AQ88" i="2" l="1"/>
  <c r="G88" i="2"/>
  <c r="BL88" i="2" l="1"/>
  <c r="AZ88" i="2"/>
  <c r="AV88" i="2"/>
  <c r="AW88" i="2" s="1"/>
  <c r="BA88" i="2"/>
  <c r="AR88" i="2"/>
  <c r="AS88" i="2" s="1"/>
  <c r="AT88" i="2" s="1"/>
  <c r="AX88" i="2" l="1"/>
  <c r="AP88" i="2" s="1"/>
  <c r="AY88" i="2" s="1"/>
  <c r="BB88" i="2"/>
  <c r="BC88" i="2" s="1"/>
  <c r="BI88" i="2" s="1"/>
  <c r="BJ88" i="2" s="1"/>
  <c r="BK88" i="2" l="1"/>
  <c r="BO88" i="2" s="1"/>
  <c r="BP88" i="2" s="1"/>
  <c r="BR88" i="2" s="1"/>
  <c r="BQ88" i="2" l="1"/>
  <c r="BU88" i="2" l="1"/>
  <c r="G89" i="2" l="1"/>
  <c r="AQ89" i="2"/>
  <c r="BA89" i="2" l="1"/>
  <c r="AV89" i="2"/>
  <c r="AW89" i="2" s="1"/>
  <c r="AR89" i="2"/>
  <c r="AS89" i="2" s="1"/>
  <c r="AT89" i="2" s="1"/>
  <c r="AZ89" i="2"/>
  <c r="BL89" i="2"/>
  <c r="BB89" i="2" l="1"/>
  <c r="BC89" i="2" s="1"/>
  <c r="AX89" i="2"/>
  <c r="AP89" i="2" s="1"/>
  <c r="AY89" i="2" s="1"/>
  <c r="BI89" i="2"/>
  <c r="BJ89" i="2" s="1"/>
  <c r="BK89" i="2" l="1"/>
  <c r="BO89" i="2" s="1"/>
  <c r="BP89" i="2" s="1"/>
  <c r="BR89" i="2" s="1"/>
  <c r="BQ89" i="2" l="1"/>
  <c r="BU89" i="2" l="1"/>
  <c r="AQ90" i="2" l="1"/>
  <c r="G90" i="2"/>
  <c r="BL90" i="2" l="1"/>
  <c r="AR90" i="2"/>
  <c r="AS90" i="2" s="1"/>
  <c r="AT90" i="2" s="1"/>
  <c r="AV90" i="2"/>
  <c r="AW90" i="2" s="1"/>
  <c r="AZ90" i="2"/>
  <c r="BA90" i="2"/>
  <c r="AX90" i="2" l="1"/>
  <c r="AP90" i="2" s="1"/>
  <c r="AY90" i="2" s="1"/>
  <c r="BB90" i="2"/>
  <c r="BC90" i="2" s="1"/>
  <c r="BI90" i="2" s="1"/>
  <c r="BJ90" i="2" s="1"/>
  <c r="BK90" i="2" l="1"/>
  <c r="BO90" i="2" s="1"/>
  <c r="BP90" i="2" s="1"/>
  <c r="BR90" i="2" s="1"/>
  <c r="BQ90" i="2" l="1"/>
  <c r="BU90" i="2" s="1"/>
  <c r="G91" i="2" l="1"/>
  <c r="AQ91" i="2"/>
  <c r="BA91" i="2" l="1"/>
  <c r="AV91" i="2"/>
  <c r="AW91" i="2" s="1"/>
  <c r="AZ91" i="2"/>
  <c r="AR91" i="2"/>
  <c r="AS91" i="2" s="1"/>
  <c r="AT91" i="2" s="1"/>
  <c r="BL91" i="2"/>
  <c r="AX91" i="2" l="1"/>
  <c r="AP91" i="2" s="1"/>
  <c r="AY91" i="2" s="1"/>
  <c r="BB91" i="2"/>
  <c r="BC91" i="2" s="1"/>
  <c r="BI91" i="2" s="1"/>
  <c r="BJ91" i="2" s="1"/>
  <c r="BK91" i="2" l="1"/>
  <c r="BO91" i="2" s="1"/>
  <c r="BP91" i="2" s="1"/>
  <c r="BR91" i="2" s="1"/>
  <c r="BQ91" i="2" l="1"/>
  <c r="BU91" i="2" s="1"/>
  <c r="AQ92" i="2" l="1"/>
  <c r="G92" i="2"/>
  <c r="BL92" i="2" l="1"/>
  <c r="AZ92" i="2"/>
  <c r="AV92" i="2"/>
  <c r="AW92" i="2" s="1"/>
  <c r="BA92" i="2"/>
  <c r="AR92" i="2"/>
  <c r="AS92" i="2" s="1"/>
  <c r="AT92" i="2" s="1"/>
  <c r="BB92" i="2" l="1"/>
  <c r="BC92" i="2" s="1"/>
  <c r="AX92" i="2"/>
  <c r="AP92" i="2" s="1"/>
  <c r="AY92" i="2" s="1"/>
  <c r="BI92" i="2"/>
  <c r="BJ92" i="2" s="1"/>
  <c r="BK92" i="2" l="1"/>
  <c r="BO92" i="2" s="1"/>
  <c r="BP92" i="2" s="1"/>
  <c r="BR92" i="2" s="1"/>
  <c r="BQ92" i="2" l="1"/>
  <c r="BU92" i="2" s="1"/>
  <c r="G93" i="2" l="1"/>
  <c r="AQ93" i="2"/>
  <c r="BA93" i="2" l="1"/>
  <c r="AR93" i="2"/>
  <c r="AS93" i="2" s="1"/>
  <c r="AT93" i="2" s="1"/>
  <c r="AV93" i="2"/>
  <c r="AW93" i="2" s="1"/>
  <c r="AZ93" i="2"/>
  <c r="BL93" i="2"/>
  <c r="AX93" i="2" l="1"/>
  <c r="AP93" i="2" s="1"/>
  <c r="AY93" i="2" s="1"/>
  <c r="BB93" i="2"/>
  <c r="BC93" i="2" s="1"/>
  <c r="BI93" i="2" s="1"/>
  <c r="BJ93" i="2" s="1"/>
  <c r="BK93" i="2" l="1"/>
  <c r="BO93" i="2" s="1"/>
  <c r="BP93" i="2" s="1"/>
  <c r="BR93" i="2" s="1"/>
  <c r="BQ93" i="2" l="1"/>
  <c r="BU93" i="2" s="1"/>
  <c r="AQ94" i="2" l="1"/>
  <c r="G94" i="2"/>
  <c r="BL94" i="2" l="1"/>
  <c r="AR94" i="2"/>
  <c r="AS94" i="2" s="1"/>
  <c r="AT94" i="2" s="1"/>
  <c r="AV94" i="2"/>
  <c r="AW94" i="2" s="1"/>
  <c r="AZ94" i="2"/>
  <c r="BA94" i="2"/>
  <c r="AX94" i="2" l="1"/>
  <c r="AP94" i="2" s="1"/>
  <c r="AY94" i="2" s="1"/>
  <c r="BB94" i="2"/>
  <c r="BC94" i="2" s="1"/>
  <c r="BI94" i="2" s="1"/>
  <c r="BJ94" i="2" s="1"/>
  <c r="BK94" i="2" l="1"/>
  <c r="BO94" i="2" s="1"/>
  <c r="BP94" i="2" s="1"/>
  <c r="BR94" i="2" s="1"/>
  <c r="BQ94" i="2" l="1"/>
  <c r="BU94" i="2" s="1"/>
  <c r="G95" i="2" l="1"/>
  <c r="AQ95" i="2"/>
  <c r="AR95" i="2" l="1"/>
  <c r="AS95" i="2" s="1"/>
  <c r="AT95" i="2" s="1"/>
  <c r="AV95" i="2"/>
  <c r="AW95" i="2" s="1"/>
  <c r="AZ95" i="2"/>
  <c r="BA95" i="2"/>
  <c r="BL95" i="2"/>
  <c r="AX95" i="2" l="1"/>
  <c r="AP95" i="2" s="1"/>
  <c r="AY95" i="2" s="1"/>
  <c r="BB95" i="2"/>
  <c r="BC95" i="2" s="1"/>
  <c r="BI95" i="2" s="1"/>
  <c r="BJ95" i="2" s="1"/>
  <c r="BK95" i="2" l="1"/>
  <c r="BO95" i="2" s="1"/>
  <c r="BP95" i="2" s="1"/>
  <c r="BR95" i="2" s="1"/>
  <c r="BQ95" i="2" l="1"/>
  <c r="BU95" i="2" s="1"/>
  <c r="AQ96" i="2" l="1"/>
  <c r="G96" i="2"/>
  <c r="BL96" i="2" l="1"/>
  <c r="AR96" i="2"/>
  <c r="AS96" i="2" s="1"/>
  <c r="AT96" i="2" s="1"/>
  <c r="AV96" i="2"/>
  <c r="AW96" i="2" s="1"/>
  <c r="AZ96" i="2"/>
  <c r="BA96" i="2"/>
  <c r="AX96" i="2" l="1"/>
  <c r="AP96" i="2" s="1"/>
  <c r="AY96" i="2" s="1"/>
  <c r="BB96" i="2"/>
  <c r="BC96" i="2" s="1"/>
  <c r="BI96" i="2" s="1"/>
  <c r="BJ96" i="2" s="1"/>
  <c r="BK96" i="2" l="1"/>
  <c r="BO96" i="2" s="1"/>
  <c r="BP96" i="2" s="1"/>
  <c r="BR96" i="2" s="1"/>
  <c r="BQ96" i="2" l="1"/>
  <c r="BU96" i="2" s="1"/>
  <c r="G97" i="2" l="1"/>
  <c r="AQ97" i="2"/>
  <c r="AR97" i="2" l="1"/>
  <c r="AS97" i="2" s="1"/>
  <c r="AT97" i="2" s="1"/>
  <c r="AV97" i="2"/>
  <c r="AW97" i="2" s="1"/>
  <c r="AZ97" i="2"/>
  <c r="BA97" i="2"/>
  <c r="BL97" i="2"/>
  <c r="BB97" i="2" l="1"/>
  <c r="BC97" i="2" s="1"/>
  <c r="AX97" i="2"/>
  <c r="AP97" i="2" s="1"/>
  <c r="AY97" i="2" s="1"/>
  <c r="BI97" i="2"/>
  <c r="BJ97" i="2" s="1"/>
  <c r="BK97" i="2" l="1"/>
  <c r="BO97" i="2" s="1"/>
  <c r="BP97" i="2" s="1"/>
  <c r="BR97" i="2" s="1"/>
  <c r="BQ97" i="2" l="1"/>
  <c r="BU97" i="2" s="1"/>
  <c r="G98" i="2" l="1"/>
  <c r="AQ98" i="2"/>
  <c r="AR98" i="2" l="1"/>
  <c r="AS98" i="2" s="1"/>
  <c r="AT98" i="2" s="1"/>
  <c r="AV98" i="2"/>
  <c r="AW98" i="2" s="1"/>
  <c r="AZ98" i="2"/>
  <c r="BA98" i="2"/>
  <c r="BL98" i="2"/>
  <c r="BB98" i="2" l="1"/>
  <c r="BC98" i="2" s="1"/>
  <c r="AX98" i="2"/>
  <c r="AP98" i="2" s="1"/>
  <c r="AY98" i="2" s="1"/>
  <c r="BI98" i="2"/>
  <c r="BJ98" i="2" s="1"/>
  <c r="BK98" i="2" l="1"/>
  <c r="BO98" i="2" s="1"/>
  <c r="BP98" i="2" s="1"/>
  <c r="BR98" i="2" s="1"/>
  <c r="BQ98" i="2" l="1"/>
  <c r="BU98" i="2" s="1"/>
  <c r="AQ99" i="2" l="1"/>
  <c r="G99" i="2"/>
  <c r="BL99" i="2" l="1"/>
  <c r="AR99" i="2"/>
  <c r="AS99" i="2" s="1"/>
  <c r="AT99" i="2" s="1"/>
  <c r="AV99" i="2"/>
  <c r="AW99" i="2" s="1"/>
  <c r="AZ99" i="2"/>
  <c r="BA99" i="2"/>
  <c r="AX99" i="2" l="1"/>
  <c r="AP99" i="2" s="1"/>
  <c r="AY99" i="2" s="1"/>
  <c r="BB99" i="2"/>
  <c r="BC99" i="2" s="1"/>
  <c r="BI99" i="2" s="1"/>
  <c r="BJ99" i="2" s="1"/>
  <c r="BK99" i="2" l="1"/>
  <c r="BO99" i="2" s="1"/>
  <c r="BP99" i="2" s="1"/>
  <c r="BR99" i="2" s="1"/>
  <c r="BQ99" i="2" l="1"/>
  <c r="BU99" i="2" s="1"/>
  <c r="G100" i="2" l="1"/>
  <c r="AQ100" i="2"/>
  <c r="AR100" i="2" l="1"/>
  <c r="AS100" i="2" s="1"/>
  <c r="AT100" i="2" s="1"/>
  <c r="AV100" i="2"/>
  <c r="AW100" i="2" s="1"/>
  <c r="AZ100" i="2"/>
  <c r="BA100" i="2"/>
  <c r="BL100" i="2"/>
  <c r="AX100" i="2" l="1"/>
  <c r="AP100" i="2" s="1"/>
  <c r="AY100" i="2" s="1"/>
  <c r="BB100" i="2"/>
  <c r="BC100" i="2" s="1"/>
  <c r="BI100" i="2" s="1"/>
  <c r="BJ100" i="2" s="1"/>
  <c r="BK100" i="2" l="1"/>
  <c r="BO100" i="2" s="1"/>
  <c r="BP100" i="2" s="1"/>
  <c r="BR100" i="2" s="1"/>
  <c r="BQ100" i="2" l="1"/>
  <c r="BU100" i="2" s="1"/>
  <c r="G101" i="2" l="1"/>
  <c r="AQ101" i="2"/>
  <c r="AR101" i="2" l="1"/>
  <c r="AS101" i="2" s="1"/>
  <c r="AT101" i="2" s="1"/>
  <c r="AV101" i="2"/>
  <c r="AW101" i="2" s="1"/>
  <c r="AZ101" i="2"/>
  <c r="BA101" i="2"/>
  <c r="BL101" i="2"/>
  <c r="AX101" i="2" l="1"/>
  <c r="AP101" i="2" s="1"/>
  <c r="AY101" i="2" s="1"/>
  <c r="BB101" i="2"/>
  <c r="BC101" i="2" s="1"/>
  <c r="BI101" i="2" s="1"/>
  <c r="BJ101" i="2" s="1"/>
  <c r="BK101" i="2" l="1"/>
  <c r="BO101" i="2" s="1"/>
  <c r="BP101" i="2" s="1"/>
  <c r="BR101" i="2" s="1"/>
  <c r="BQ101" i="2" l="1"/>
  <c r="BU101" i="2" s="1"/>
  <c r="AQ102" i="2" l="1"/>
  <c r="G102" i="2"/>
  <c r="BL102" i="2" l="1"/>
  <c r="BA102" i="2"/>
  <c r="AV102" i="2"/>
  <c r="AW102" i="2" s="1"/>
  <c r="AZ102" i="2"/>
  <c r="AR102" i="2"/>
  <c r="AS102" i="2" s="1"/>
  <c r="AT102" i="2" s="1"/>
  <c r="AX102" i="2" l="1"/>
  <c r="AP102" i="2" s="1"/>
  <c r="AY102" i="2" s="1"/>
  <c r="BB102" i="2"/>
  <c r="BC102" i="2" s="1"/>
  <c r="BI102" i="2" s="1"/>
  <c r="BJ102" i="2" s="1"/>
  <c r="BK102" i="2" l="1"/>
  <c r="BO102" i="2" s="1"/>
  <c r="BP102" i="2" s="1"/>
  <c r="BR102" i="2" s="1"/>
  <c r="BQ102" i="2" l="1"/>
  <c r="BU102" i="2" s="1"/>
  <c r="G103" i="2" l="1"/>
  <c r="AQ103" i="2"/>
  <c r="AR103" i="2" l="1"/>
  <c r="AS103" i="2" s="1"/>
  <c r="AT103" i="2" s="1"/>
  <c r="AV103" i="2"/>
  <c r="AW103" i="2" s="1"/>
  <c r="AZ103" i="2"/>
  <c r="BA103" i="2"/>
  <c r="BL103" i="2"/>
  <c r="AX103" i="2" l="1"/>
  <c r="AP103" i="2" s="1"/>
  <c r="AY103" i="2" s="1"/>
  <c r="BB103" i="2"/>
  <c r="BC103" i="2" s="1"/>
  <c r="BI103" i="2"/>
  <c r="BJ103" i="2" s="1"/>
  <c r="BK103" i="2" l="1"/>
  <c r="BO103" i="2" s="1"/>
  <c r="BP103" i="2" s="1"/>
  <c r="BR103" i="2" s="1"/>
  <c r="BQ103" i="2" l="1"/>
  <c r="BU103" i="2" s="1"/>
  <c r="AQ104" i="2" l="1"/>
  <c r="G104" i="2"/>
  <c r="BL104" i="2" l="1"/>
  <c r="AR104" i="2"/>
  <c r="AS104" i="2" s="1"/>
  <c r="AT104" i="2" s="1"/>
  <c r="AV104" i="2"/>
  <c r="AW104" i="2" s="1"/>
  <c r="AZ104" i="2"/>
  <c r="BA104" i="2"/>
  <c r="AX104" i="2" l="1"/>
  <c r="AP104" i="2" s="1"/>
  <c r="AY104" i="2" s="1"/>
  <c r="BB104" i="2"/>
  <c r="BC104" i="2" s="1"/>
  <c r="BI104" i="2" s="1"/>
  <c r="BJ104" i="2" s="1"/>
  <c r="BK104" i="2" l="1"/>
  <c r="BO104" i="2" s="1"/>
  <c r="BP104" i="2" s="1"/>
  <c r="BR104" i="2" s="1"/>
  <c r="BQ104" i="2" l="1"/>
  <c r="BU104" i="2" s="1"/>
  <c r="G105" i="2" l="1"/>
  <c r="AQ105" i="2"/>
  <c r="BA105" i="2" l="1"/>
  <c r="AR105" i="2"/>
  <c r="AS105" i="2" s="1"/>
  <c r="AT105" i="2" s="1"/>
  <c r="AV105" i="2"/>
  <c r="AW105" i="2" s="1"/>
  <c r="AZ105" i="2"/>
  <c r="BL105" i="2"/>
  <c r="AX105" i="2" l="1"/>
  <c r="AP105" i="2" s="1"/>
  <c r="AY105" i="2" s="1"/>
  <c r="BB105" i="2"/>
  <c r="BC105" i="2" s="1"/>
  <c r="BI105" i="2" s="1"/>
  <c r="BJ105" i="2" s="1"/>
  <c r="BK105" i="2" l="1"/>
  <c r="BO105" i="2" s="1"/>
  <c r="BP105" i="2" s="1"/>
  <c r="BR105" i="2" s="1"/>
  <c r="BQ105" i="2" l="1"/>
  <c r="BU105" i="2" s="1"/>
  <c r="AQ106" i="2" l="1"/>
  <c r="G106" i="2"/>
  <c r="BL106" i="2" l="1"/>
  <c r="AR106" i="2"/>
  <c r="AS106" i="2" s="1"/>
  <c r="AT106" i="2" s="1"/>
  <c r="AV106" i="2"/>
  <c r="AW106" i="2" s="1"/>
  <c r="AZ106" i="2"/>
  <c r="BA106" i="2"/>
  <c r="AX106" i="2" l="1"/>
  <c r="AP106" i="2" s="1"/>
  <c r="AY106" i="2" s="1"/>
  <c r="BB106" i="2"/>
  <c r="BC106" i="2" s="1"/>
  <c r="BI106" i="2" s="1"/>
  <c r="BJ106" i="2" s="1"/>
  <c r="BK106" i="2" l="1"/>
  <c r="BO106" i="2" s="1"/>
  <c r="BP106" i="2" s="1"/>
  <c r="BR106" i="2" s="1"/>
  <c r="BQ106" i="2" l="1"/>
  <c r="BU106" i="2" s="1"/>
  <c r="G107" i="2" l="1"/>
  <c r="AQ107" i="2"/>
  <c r="BA107" i="2" l="1"/>
  <c r="AZ107" i="2"/>
  <c r="AV107" i="2"/>
  <c r="AW107" i="2" s="1"/>
  <c r="AR107" i="2"/>
  <c r="AS107" i="2" s="1"/>
  <c r="AT107" i="2" s="1"/>
  <c r="BL107" i="2"/>
  <c r="BB107" i="2" l="1"/>
  <c r="BC107" i="2" s="1"/>
  <c r="BI107" i="2" s="1"/>
  <c r="BJ107" i="2" s="1"/>
  <c r="AX107" i="2"/>
  <c r="AP107" i="2" s="1"/>
  <c r="AY107" i="2" s="1"/>
  <c r="BK107" i="2" l="1"/>
  <c r="BO107" i="2" s="1"/>
  <c r="BP107" i="2" s="1"/>
  <c r="BR107" i="2" s="1"/>
  <c r="BQ107" i="2" l="1"/>
  <c r="BU107" i="2" s="1"/>
  <c r="G108" i="2" l="1"/>
  <c r="AQ108" i="2"/>
  <c r="AR108" i="2" l="1"/>
  <c r="AS108" i="2" s="1"/>
  <c r="AT108" i="2" s="1"/>
  <c r="AV108" i="2"/>
  <c r="AW108" i="2" s="1"/>
  <c r="AZ108" i="2"/>
  <c r="BA108" i="2"/>
  <c r="BL108" i="2"/>
  <c r="AX108" i="2" l="1"/>
  <c r="AP108" i="2" s="1"/>
  <c r="AY108" i="2" s="1"/>
  <c r="BB108" i="2"/>
  <c r="BC108" i="2" s="1"/>
  <c r="BI108" i="2" s="1"/>
  <c r="BJ108" i="2" s="1"/>
  <c r="BK108" i="2" l="1"/>
  <c r="BO108" i="2" s="1"/>
  <c r="BP108" i="2" s="1"/>
  <c r="BR108" i="2" s="1"/>
  <c r="BQ108" i="2" l="1"/>
  <c r="BU108" i="2" s="1"/>
  <c r="G109" i="2" l="1"/>
  <c r="AQ109" i="2"/>
  <c r="AR109" i="2" l="1"/>
  <c r="AS109" i="2" s="1"/>
  <c r="AT109" i="2" s="1"/>
  <c r="AV109" i="2"/>
  <c r="AW109" i="2" s="1"/>
  <c r="AZ109" i="2"/>
  <c r="BA109" i="2"/>
  <c r="BL109" i="2"/>
  <c r="BB109" i="2" l="1"/>
  <c r="BC109" i="2" s="1"/>
  <c r="AX109" i="2"/>
  <c r="AP109" i="2" s="1"/>
  <c r="AY109" i="2" s="1"/>
  <c r="BI109" i="2"/>
  <c r="BJ109" i="2" s="1"/>
  <c r="BK109" i="2" l="1"/>
  <c r="BO109" i="2" s="1"/>
  <c r="BP109" i="2" s="1"/>
  <c r="BR109" i="2" s="1"/>
  <c r="BQ109" i="2" l="1"/>
  <c r="BU109" i="2" s="1"/>
  <c r="AQ110" i="2" l="1"/>
  <c r="G110" i="2"/>
  <c r="BL110" i="2" l="1"/>
  <c r="BA110" i="2"/>
  <c r="AZ110" i="2"/>
  <c r="AR110" i="2"/>
  <c r="AS110" i="2" s="1"/>
  <c r="AT110" i="2" s="1"/>
  <c r="AV110" i="2"/>
  <c r="AW110" i="2" s="1"/>
  <c r="AX110" i="2" l="1"/>
  <c r="AP110" i="2" s="1"/>
  <c r="AY110" i="2" s="1"/>
  <c r="BB110" i="2"/>
  <c r="BC110" i="2" s="1"/>
  <c r="BI110" i="2" s="1"/>
  <c r="BJ110" i="2" s="1"/>
  <c r="BK110" i="2" l="1"/>
  <c r="BO110" i="2" s="1"/>
  <c r="BP110" i="2" s="1"/>
  <c r="BR110" i="2" s="1"/>
  <c r="BQ110" i="2" l="1"/>
  <c r="BU110" i="2" s="1"/>
  <c r="G111" i="2" l="1"/>
  <c r="AQ111" i="2"/>
  <c r="BA111" i="2" l="1"/>
  <c r="BJ111" i="2" s="1"/>
  <c r="AV111" i="2"/>
  <c r="AW111" i="2" s="1"/>
  <c r="AX111" i="2" s="1"/>
  <c r="AZ111" i="2"/>
  <c r="AR111" i="2"/>
  <c r="C124" i="2"/>
  <c r="F599" i="2"/>
  <c r="F600" i="2"/>
  <c r="F601" i="2"/>
  <c r="F602" i="2"/>
  <c r="F603" i="2"/>
  <c r="BL111" i="2"/>
  <c r="B18" i="3"/>
  <c r="B241" i="2" l="1"/>
  <c r="B431" i="2"/>
  <c r="AS111" i="2"/>
  <c r="AT111" i="2" s="1"/>
  <c r="AY111" i="2" s="1"/>
  <c r="BK111" i="2"/>
  <c r="BO111" i="2" s="1"/>
  <c r="BP111" i="2" s="1"/>
  <c r="BR111" i="2" s="1"/>
  <c r="C119" i="2" l="1"/>
  <c r="C121" i="2"/>
  <c r="BR112" i="2"/>
  <c r="BQ111" i="2"/>
  <c r="B215" i="2" l="1"/>
  <c r="C122" i="2"/>
  <c r="E122" i="2" s="1"/>
  <c r="B407" i="2"/>
  <c r="C511" i="2"/>
  <c r="B538" i="2"/>
  <c r="B548" i="2"/>
  <c r="E118" i="2"/>
  <c r="E119" i="2"/>
  <c r="B546" i="2"/>
  <c r="BU111" i="2"/>
  <c r="G113" i="2" s="1"/>
  <c r="C115" i="2" s="1"/>
  <c r="C116" i="2" s="1"/>
  <c r="BQ112" i="2"/>
  <c r="C120" i="2"/>
  <c r="E120" i="2" l="1"/>
  <c r="B547" i="2"/>
  <c r="E116" i="2"/>
  <c r="B154" i="2"/>
  <c r="B230" i="2"/>
  <c r="I316" i="2" s="1"/>
  <c r="B420" i="2"/>
  <c r="I472" i="2" s="1"/>
  <c r="B356" i="2"/>
  <c r="B19" i="3"/>
  <c r="L472" i="2" l="1"/>
  <c r="Q472" i="2"/>
  <c r="U472" i="2"/>
  <c r="V472" i="2"/>
  <c r="Z472" i="2" s="1"/>
  <c r="I473" i="2"/>
  <c r="EE471" i="2"/>
  <c r="EE472" i="2"/>
  <c r="EE315" i="2"/>
  <c r="EE316" i="2"/>
  <c r="L316" i="2"/>
  <c r="Q316" i="2"/>
  <c r="U316" i="2"/>
  <c r="V316" i="2"/>
  <c r="Z316" i="2" s="1"/>
  <c r="I317" i="2"/>
  <c r="D154" i="2"/>
  <c r="H154" i="2"/>
  <c r="Y184" i="2"/>
  <c r="G185" i="2"/>
  <c r="E175" i="2"/>
  <c r="D356" i="2"/>
  <c r="Y376" i="2"/>
  <c r="G377" i="2"/>
  <c r="H356" i="2"/>
  <c r="Q377" i="2" l="1"/>
  <c r="U377" i="2" s="1"/>
  <c r="H377" i="2"/>
  <c r="L377" i="2"/>
  <c r="P377" i="2"/>
  <c r="W377" i="2"/>
  <c r="H185" i="2"/>
  <c r="L185" i="2"/>
  <c r="P185" i="2"/>
  <c r="Q185" i="2"/>
  <c r="U185" i="2" s="1"/>
  <c r="W185" i="2"/>
  <c r="V317" i="2"/>
  <c r="L317" i="2"/>
  <c r="Q317" i="2"/>
  <c r="U317" i="2"/>
  <c r="CP317" i="2"/>
  <c r="M316" i="2"/>
  <c r="N316" i="2"/>
  <c r="CQ472" i="2"/>
  <c r="CR472" i="2" s="1"/>
  <c r="AA472" i="2"/>
  <c r="CQ316" i="2"/>
  <c r="CR316" i="2" s="1"/>
  <c r="AA316" i="2"/>
  <c r="F175" i="2"/>
  <c r="E176" i="2"/>
  <c r="G175" i="2"/>
  <c r="L473" i="2"/>
  <c r="Q473" i="2"/>
  <c r="U473" i="2"/>
  <c r="V473" i="2"/>
  <c r="F604" i="2"/>
  <c r="CP473" i="2"/>
  <c r="M472" i="2"/>
  <c r="N472" i="2"/>
  <c r="AN481" i="2" s="1"/>
  <c r="AO481" i="2" s="1"/>
  <c r="N317" i="2" l="1"/>
  <c r="M317" i="2"/>
  <c r="F176" i="2"/>
  <c r="G176" i="2"/>
  <c r="K175" i="2"/>
  <c r="L175" i="2" s="1"/>
  <c r="M175" i="2" s="1"/>
  <c r="N175" i="2" s="1"/>
  <c r="I175" i="2"/>
  <c r="J175" i="2" s="1"/>
  <c r="P175" i="2"/>
  <c r="Q175" i="2" s="1"/>
  <c r="R175" i="2" s="1"/>
  <c r="S175" i="2" s="1"/>
  <c r="T175" i="2" s="1"/>
  <c r="U175" i="2" s="1"/>
  <c r="V185" i="2"/>
  <c r="M473" i="2"/>
  <c r="N473" i="2"/>
  <c r="AN482" i="2" s="1"/>
  <c r="AO482" i="2" s="1"/>
  <c r="V377" i="2"/>
  <c r="I176" i="2" l="1"/>
  <c r="J176" i="2" s="1"/>
  <c r="K176" i="2" s="1"/>
  <c r="L176" i="2" s="1"/>
  <c r="M176" i="2" s="1"/>
  <c r="N176" i="2" s="1"/>
  <c r="N177" i="2" s="1"/>
  <c r="P176" i="2"/>
  <c r="Q176" i="2" s="1"/>
  <c r="R176" i="2" s="1"/>
  <c r="S176" i="2" s="1"/>
  <c r="T176" i="2" s="1"/>
  <c r="U176" i="2" s="1"/>
  <c r="U177" i="2" s="1"/>
  <c r="V175" i="2" l="1"/>
  <c r="D177" i="2" l="1"/>
  <c r="W175" i="2"/>
  <c r="X175" i="2" s="1"/>
  <c r="Y175" i="2" s="1"/>
  <c r="Z175" i="2" s="1"/>
  <c r="AA175" i="2" s="1"/>
  <c r="AB175" i="2" s="1"/>
  <c r="V176" i="2"/>
  <c r="D178" i="2" l="1"/>
  <c r="B231" i="2" s="1"/>
  <c r="W176" i="2"/>
  <c r="X176" i="2" s="1"/>
  <c r="Y176" i="2" s="1"/>
  <c r="Z176" i="2" s="1"/>
  <c r="AA176" i="2" s="1"/>
  <c r="AB176" i="2" s="1"/>
  <c r="AB177" i="2" s="1"/>
  <c r="I185" i="2"/>
  <c r="J185" i="2" s="1"/>
  <c r="O185" i="2" s="1"/>
  <c r="M185" i="2"/>
  <c r="N185" i="2" s="1"/>
  <c r="X185" i="2"/>
  <c r="Y185" i="2" s="1"/>
  <c r="AA185" i="2" l="1"/>
  <c r="Z185" i="2"/>
  <c r="O316" i="2"/>
  <c r="P316" i="2" s="1"/>
  <c r="O317" i="2"/>
  <c r="P317" i="2" s="1"/>
  <c r="R317" i="2" s="1"/>
  <c r="ED342" i="2"/>
  <c r="CS316" i="2"/>
  <c r="CT316" i="2" s="1"/>
  <c r="EB316" i="2" s="1"/>
  <c r="S317" i="2" l="1"/>
  <c r="K317" i="2" s="1"/>
  <c r="T317" i="2" s="1"/>
  <c r="W317" i="2"/>
  <c r="X317" i="2" s="1"/>
  <c r="Y317" i="2" s="1"/>
  <c r="Z317" i="2" s="1"/>
  <c r="AB185" i="2"/>
  <c r="G186" i="2" s="1"/>
  <c r="AC185" i="2"/>
  <c r="R316" i="2"/>
  <c r="S316" i="2" s="1"/>
  <c r="T316" i="2"/>
  <c r="AA317" i="2" l="1"/>
  <c r="CQ317" i="2"/>
  <c r="Q186" i="2"/>
  <c r="H186" i="2"/>
  <c r="I186" i="2" s="1"/>
  <c r="J186" i="2" s="1"/>
  <c r="L186" i="2"/>
  <c r="M186" i="2" s="1"/>
  <c r="P186" i="2"/>
  <c r="W186" i="2"/>
  <c r="N186" i="2" l="1"/>
  <c r="F186" i="2" s="1"/>
  <c r="O186" i="2" s="1"/>
  <c r="R186" i="2"/>
  <c r="S186" i="2" s="1"/>
  <c r="T186" i="2" s="1"/>
  <c r="U186" i="2" s="1"/>
  <c r="V186" i="2" l="1"/>
  <c r="X186" i="2" s="1"/>
  <c r="Y186" i="2" s="1"/>
  <c r="AA186" i="2" s="1"/>
  <c r="Z186" i="2" l="1"/>
  <c r="AC186" i="2" l="1"/>
  <c r="AB186" i="2"/>
  <c r="G187" i="2" l="1"/>
  <c r="F289" i="2"/>
  <c r="I289" i="2" l="1"/>
  <c r="S289" i="2"/>
  <c r="W289" i="2" s="1"/>
  <c r="X289" i="2" s="1"/>
  <c r="BL289" i="2" s="1"/>
  <c r="BD289" i="2"/>
  <c r="N289" i="2"/>
  <c r="R289" i="2"/>
  <c r="BH289" i="2"/>
  <c r="BI289" i="2"/>
  <c r="BM289" i="2"/>
  <c r="BE289" i="2"/>
  <c r="H187" i="2"/>
  <c r="I187" i="2" s="1"/>
  <c r="J187" i="2" s="1"/>
  <c r="L187" i="2"/>
  <c r="M187" i="2" s="1"/>
  <c r="P187" i="2"/>
  <c r="Q187" i="2"/>
  <c r="W187" i="2"/>
  <c r="N187" i="2" l="1"/>
  <c r="F187" i="2" s="1"/>
  <c r="O187" i="2" s="1"/>
  <c r="R187" i="2"/>
  <c r="S187" i="2" s="1"/>
  <c r="T187" i="2" s="1"/>
  <c r="U187" i="2" s="1"/>
  <c r="K289" i="2"/>
  <c r="J289" i="2"/>
  <c r="V187" i="2" l="1"/>
  <c r="X187" i="2" s="1"/>
  <c r="Y187" i="2" s="1"/>
  <c r="AA187" i="2" s="1"/>
  <c r="L289" i="2"/>
  <c r="M289" i="2" s="1"/>
  <c r="O289" i="2" s="1"/>
  <c r="T288" i="2" l="1"/>
  <c r="U288" i="2" s="1"/>
  <c r="P289" i="2"/>
  <c r="Q289" i="2"/>
  <c r="Z187" i="2"/>
  <c r="AB187" i="2" l="1"/>
  <c r="AC187" i="2"/>
  <c r="G188" i="2" l="1"/>
  <c r="F288" i="2"/>
  <c r="N288" i="2" l="1"/>
  <c r="R288" i="2"/>
  <c r="I288" i="2"/>
  <c r="S288" i="2"/>
  <c r="H188" i="2"/>
  <c r="I188" i="2" s="1"/>
  <c r="J188" i="2" s="1"/>
  <c r="L188" i="2"/>
  <c r="M188" i="2" s="1"/>
  <c r="P188" i="2"/>
  <c r="Q188" i="2"/>
  <c r="W188" i="2"/>
  <c r="N188" i="2" l="1"/>
  <c r="F188" i="2" s="1"/>
  <c r="O188" i="2" s="1"/>
  <c r="R188" i="2"/>
  <c r="S188" i="2" s="1"/>
  <c r="T188" i="2" s="1"/>
  <c r="U188" i="2" s="1"/>
  <c r="J288" i="2"/>
  <c r="K288" i="2"/>
  <c r="V188" i="2" l="1"/>
  <c r="X188" i="2" s="1"/>
  <c r="Y188" i="2" s="1"/>
  <c r="AA188" i="2" s="1"/>
  <c r="L288" i="2"/>
  <c r="M288" i="2" s="1"/>
  <c r="O288" i="2" s="1"/>
  <c r="P288" i="2" l="1"/>
  <c r="H288" i="2" s="1"/>
  <c r="Q288" i="2" s="1"/>
  <c r="T287" i="2"/>
  <c r="U287" i="2" s="1"/>
  <c r="V288" i="2"/>
  <c r="W288" i="2" s="1"/>
  <c r="X288" i="2" s="1"/>
  <c r="Z188" i="2"/>
  <c r="AB188" i="2" l="1"/>
  <c r="AC188" i="2"/>
  <c r="G189" i="2" l="1"/>
  <c r="F287" i="2"/>
  <c r="S287" i="2" l="1"/>
  <c r="I287" i="2"/>
  <c r="N287" i="2"/>
  <c r="R287" i="2"/>
  <c r="H189" i="2"/>
  <c r="I189" i="2" s="1"/>
  <c r="J189" i="2" s="1"/>
  <c r="L189" i="2"/>
  <c r="M189" i="2" s="1"/>
  <c r="P189" i="2"/>
  <c r="Q189" i="2"/>
  <c r="W189" i="2"/>
  <c r="N189" i="2" l="1"/>
  <c r="F189" i="2" s="1"/>
  <c r="O189" i="2" s="1"/>
  <c r="R189" i="2"/>
  <c r="S189" i="2" s="1"/>
  <c r="T189" i="2" s="1"/>
  <c r="U189" i="2" s="1"/>
  <c r="K287" i="2"/>
  <c r="J287" i="2"/>
  <c r="V189" i="2" l="1"/>
  <c r="X189" i="2" s="1"/>
  <c r="Y189" i="2" s="1"/>
  <c r="AA189" i="2" s="1"/>
  <c r="L287" i="2"/>
  <c r="M287" i="2" s="1"/>
  <c r="O287" i="2" s="1"/>
  <c r="T286" i="2" l="1"/>
  <c r="U286" i="2" s="1"/>
  <c r="P287" i="2"/>
  <c r="H287" i="2" s="1"/>
  <c r="Q287" i="2" s="1"/>
  <c r="V287" i="2"/>
  <c r="W287" i="2" s="1"/>
  <c r="X287" i="2" s="1"/>
  <c r="Z189" i="2"/>
  <c r="AB189" i="2" l="1"/>
  <c r="AC189" i="2"/>
  <c r="F286" i="2" l="1"/>
  <c r="G190" i="2"/>
  <c r="Q190" i="2" l="1"/>
  <c r="H190" i="2"/>
  <c r="I190" i="2" s="1"/>
  <c r="J190" i="2" s="1"/>
  <c r="L190" i="2"/>
  <c r="M190" i="2" s="1"/>
  <c r="P190" i="2"/>
  <c r="W190" i="2"/>
  <c r="N286" i="2"/>
  <c r="R286" i="2"/>
  <c r="I286" i="2"/>
  <c r="S286" i="2"/>
  <c r="J286" i="2" l="1"/>
  <c r="K286" i="2"/>
  <c r="N190" i="2"/>
  <c r="F190" i="2" s="1"/>
  <c r="O190" i="2" s="1"/>
  <c r="R190" i="2"/>
  <c r="S190" i="2" s="1"/>
  <c r="T190" i="2" s="1"/>
  <c r="U190" i="2" s="1"/>
  <c r="V190" i="2" l="1"/>
  <c r="X190" i="2" s="1"/>
  <c r="Y190" i="2" s="1"/>
  <c r="AA190" i="2" s="1"/>
  <c r="L286" i="2"/>
  <c r="M286" i="2" s="1"/>
  <c r="O286" i="2" s="1"/>
  <c r="P286" i="2" l="1"/>
  <c r="H286" i="2" s="1"/>
  <c r="Q286" i="2" s="1"/>
  <c r="T285" i="2"/>
  <c r="U285" i="2" s="1"/>
  <c r="V286" i="2"/>
  <c r="W286" i="2" s="1"/>
  <c r="X286" i="2" s="1"/>
  <c r="Z190" i="2"/>
  <c r="AC190" i="2" l="1"/>
  <c r="AB190" i="2"/>
  <c r="G191" i="2" l="1"/>
  <c r="F285" i="2"/>
  <c r="I285" i="2" l="1"/>
  <c r="S285" i="2"/>
  <c r="R285" i="2"/>
  <c r="N285" i="2"/>
  <c r="H191" i="2"/>
  <c r="I191" i="2" s="1"/>
  <c r="J191" i="2" s="1"/>
  <c r="P191" i="2"/>
  <c r="L191" i="2"/>
  <c r="M191" i="2" s="1"/>
  <c r="Q191" i="2"/>
  <c r="W191" i="2"/>
  <c r="R191" i="2" l="1"/>
  <c r="S191" i="2" s="1"/>
  <c r="N191" i="2"/>
  <c r="F191" i="2" s="1"/>
  <c r="O191" i="2" s="1"/>
  <c r="T191" i="2"/>
  <c r="U191" i="2" s="1"/>
  <c r="K285" i="2"/>
  <c r="J285" i="2"/>
  <c r="L285" i="2" l="1"/>
  <c r="M285" i="2" s="1"/>
  <c r="O285" i="2" s="1"/>
  <c r="V191" i="2"/>
  <c r="X191" i="2" s="1"/>
  <c r="Y191" i="2" s="1"/>
  <c r="AA191" i="2" s="1"/>
  <c r="T284" i="2" l="1"/>
  <c r="U284" i="2" s="1"/>
  <c r="P285" i="2"/>
  <c r="H285" i="2" s="1"/>
  <c r="Q285" i="2" s="1"/>
  <c r="V285" i="2"/>
  <c r="W285" i="2" s="1"/>
  <c r="X285" i="2" s="1"/>
  <c r="Z191" i="2"/>
  <c r="AB191" i="2" l="1"/>
  <c r="AC191" i="2"/>
  <c r="F284" i="2" l="1"/>
  <c r="G192" i="2"/>
  <c r="Q192" i="2" l="1"/>
  <c r="H192" i="2"/>
  <c r="I192" i="2" s="1"/>
  <c r="J192" i="2" s="1"/>
  <c r="L192" i="2"/>
  <c r="M192" i="2" s="1"/>
  <c r="P192" i="2"/>
  <c r="W192" i="2"/>
  <c r="N284" i="2"/>
  <c r="R284" i="2"/>
  <c r="I284" i="2"/>
  <c r="S284" i="2"/>
  <c r="J284" i="2" l="1"/>
  <c r="K284" i="2"/>
  <c r="N192" i="2"/>
  <c r="F192" i="2" s="1"/>
  <c r="O192" i="2" s="1"/>
  <c r="R192" i="2"/>
  <c r="S192" i="2" s="1"/>
  <c r="T192" i="2" s="1"/>
  <c r="U192" i="2" s="1"/>
  <c r="V192" i="2" l="1"/>
  <c r="X192" i="2" s="1"/>
  <c r="Y192" i="2" s="1"/>
  <c r="AA192" i="2" s="1"/>
  <c r="L284" i="2"/>
  <c r="M284" i="2" s="1"/>
  <c r="O284" i="2" s="1"/>
  <c r="P284" i="2" l="1"/>
  <c r="H284" i="2" s="1"/>
  <c r="Q284" i="2" s="1"/>
  <c r="T283" i="2"/>
  <c r="U283" i="2" s="1"/>
  <c r="V284" i="2"/>
  <c r="W284" i="2" s="1"/>
  <c r="X284" i="2" s="1"/>
  <c r="Z192" i="2"/>
  <c r="AC192" i="2" l="1"/>
  <c r="AB192" i="2"/>
  <c r="G193" i="2" l="1"/>
  <c r="F283" i="2"/>
  <c r="S283" i="2" l="1"/>
  <c r="I283" i="2"/>
  <c r="R283" i="2"/>
  <c r="N283" i="2"/>
  <c r="L193" i="2"/>
  <c r="M193" i="2" s="1"/>
  <c r="H193" i="2"/>
  <c r="I193" i="2" s="1"/>
  <c r="J193" i="2" s="1"/>
  <c r="P193" i="2"/>
  <c r="Q193" i="2"/>
  <c r="W193" i="2"/>
  <c r="N193" i="2" l="1"/>
  <c r="F193" i="2" s="1"/>
  <c r="O193" i="2" s="1"/>
  <c r="R193" i="2"/>
  <c r="S193" i="2" s="1"/>
  <c r="T193" i="2" s="1"/>
  <c r="U193" i="2" s="1"/>
  <c r="K283" i="2"/>
  <c r="J283" i="2"/>
  <c r="V193" i="2" l="1"/>
  <c r="X193" i="2" s="1"/>
  <c r="Y193" i="2" s="1"/>
  <c r="AA193" i="2" s="1"/>
  <c r="L283" i="2"/>
  <c r="M283" i="2" s="1"/>
  <c r="O283" i="2" s="1"/>
  <c r="T282" i="2" l="1"/>
  <c r="U282" i="2" s="1"/>
  <c r="P283" i="2"/>
  <c r="H283" i="2" s="1"/>
  <c r="Q283" i="2" s="1"/>
  <c r="V283" i="2"/>
  <c r="W283" i="2" s="1"/>
  <c r="X283" i="2" s="1"/>
  <c r="Z193" i="2"/>
  <c r="AB193" i="2" l="1"/>
  <c r="AC193" i="2"/>
  <c r="G194" i="2" l="1"/>
  <c r="F282" i="2"/>
  <c r="I282" i="2" l="1"/>
  <c r="N282" i="2"/>
  <c r="R282" i="2"/>
  <c r="S282" i="2"/>
  <c r="H194" i="2"/>
  <c r="I194" i="2" s="1"/>
  <c r="J194" i="2" s="1"/>
  <c r="L194" i="2"/>
  <c r="M194" i="2" s="1"/>
  <c r="P194" i="2"/>
  <c r="Q194" i="2"/>
  <c r="W194" i="2"/>
  <c r="N194" i="2" l="1"/>
  <c r="F194" i="2" s="1"/>
  <c r="O194" i="2" s="1"/>
  <c r="R194" i="2"/>
  <c r="S194" i="2" s="1"/>
  <c r="T194" i="2" s="1"/>
  <c r="U194" i="2" s="1"/>
  <c r="J282" i="2"/>
  <c r="K282" i="2"/>
  <c r="V194" i="2" l="1"/>
  <c r="X194" i="2" s="1"/>
  <c r="Y194" i="2" s="1"/>
  <c r="AA194" i="2" s="1"/>
  <c r="L282" i="2"/>
  <c r="M282" i="2" s="1"/>
  <c r="O282" i="2" s="1"/>
  <c r="P282" i="2" l="1"/>
  <c r="H282" i="2" s="1"/>
  <c r="Q282" i="2" s="1"/>
  <c r="T281" i="2"/>
  <c r="U281" i="2" s="1"/>
  <c r="V282" i="2"/>
  <c r="W282" i="2" s="1"/>
  <c r="X282" i="2" s="1"/>
  <c r="Z194" i="2"/>
  <c r="AB194" i="2" l="1"/>
  <c r="AC194" i="2"/>
  <c r="F281" i="2" l="1"/>
  <c r="G195" i="2"/>
  <c r="H195" i="2" l="1"/>
  <c r="I195" i="2" s="1"/>
  <c r="J195" i="2" s="1"/>
  <c r="L195" i="2"/>
  <c r="M195" i="2" s="1"/>
  <c r="P195" i="2"/>
  <c r="Q195" i="2"/>
  <c r="W195" i="2"/>
  <c r="I281" i="2"/>
  <c r="N281" i="2"/>
  <c r="R281" i="2"/>
  <c r="S281" i="2"/>
  <c r="N195" i="2" l="1"/>
  <c r="F195" i="2" s="1"/>
  <c r="O195" i="2" s="1"/>
  <c r="R195" i="2"/>
  <c r="S195" i="2" s="1"/>
  <c r="T195" i="2" s="1"/>
  <c r="U195" i="2" s="1"/>
  <c r="J281" i="2"/>
  <c r="K281" i="2"/>
  <c r="V195" i="2" l="1"/>
  <c r="X195" i="2" s="1"/>
  <c r="Y195" i="2" s="1"/>
  <c r="AA195" i="2" s="1"/>
  <c r="L281" i="2"/>
  <c r="M281" i="2" s="1"/>
  <c r="O281" i="2" s="1"/>
  <c r="T280" i="2" l="1"/>
  <c r="U280" i="2" s="1"/>
  <c r="P281" i="2"/>
  <c r="H281" i="2" s="1"/>
  <c r="Q281" i="2" s="1"/>
  <c r="V281" i="2"/>
  <c r="W281" i="2" s="1"/>
  <c r="X281" i="2" s="1"/>
  <c r="Z195" i="2"/>
  <c r="AB195" i="2" l="1"/>
  <c r="AC195" i="2"/>
  <c r="G196" i="2" l="1"/>
  <c r="F280" i="2"/>
  <c r="I280" i="2" l="1"/>
  <c r="N280" i="2"/>
  <c r="R280" i="2"/>
  <c r="S280" i="2"/>
  <c r="Q196" i="2"/>
  <c r="H196" i="2"/>
  <c r="I196" i="2" s="1"/>
  <c r="J196" i="2" s="1"/>
  <c r="L196" i="2"/>
  <c r="M196" i="2" s="1"/>
  <c r="P196" i="2"/>
  <c r="W196" i="2"/>
  <c r="N196" i="2" l="1"/>
  <c r="F196" i="2" s="1"/>
  <c r="O196" i="2" s="1"/>
  <c r="R196" i="2"/>
  <c r="S196" i="2" s="1"/>
  <c r="T196" i="2" s="1"/>
  <c r="U196" i="2" s="1"/>
  <c r="J280" i="2"/>
  <c r="K280" i="2"/>
  <c r="V196" i="2" l="1"/>
  <c r="X196" i="2" s="1"/>
  <c r="Y196" i="2" s="1"/>
  <c r="AA196" i="2" s="1"/>
  <c r="L280" i="2"/>
  <c r="M280" i="2" s="1"/>
  <c r="O280" i="2" s="1"/>
  <c r="T279" i="2" l="1"/>
  <c r="U279" i="2" s="1"/>
  <c r="P280" i="2"/>
  <c r="H280" i="2" s="1"/>
  <c r="Q280" i="2" s="1"/>
  <c r="V280" i="2"/>
  <c r="W280" i="2" s="1"/>
  <c r="X280" i="2" s="1"/>
  <c r="Z196" i="2"/>
  <c r="AC196" i="2" l="1"/>
  <c r="AB196" i="2"/>
  <c r="G197" i="2" l="1"/>
  <c r="F279" i="2"/>
  <c r="N279" i="2" l="1"/>
  <c r="R279" i="2"/>
  <c r="S279" i="2"/>
  <c r="I279" i="2"/>
  <c r="H197" i="2"/>
  <c r="I197" i="2" s="1"/>
  <c r="J197" i="2" s="1"/>
  <c r="P197" i="2"/>
  <c r="L197" i="2"/>
  <c r="M197" i="2" s="1"/>
  <c r="Q197" i="2"/>
  <c r="W197" i="2"/>
  <c r="N197" i="2" l="1"/>
  <c r="F197" i="2" s="1"/>
  <c r="O197" i="2" s="1"/>
  <c r="R197" i="2"/>
  <c r="S197" i="2" s="1"/>
  <c r="T197" i="2" s="1"/>
  <c r="U197" i="2" s="1"/>
  <c r="J279" i="2"/>
  <c r="K279" i="2"/>
  <c r="V197" i="2" l="1"/>
  <c r="X197" i="2" s="1"/>
  <c r="Y197" i="2" s="1"/>
  <c r="AA197" i="2" s="1"/>
  <c r="L279" i="2"/>
  <c r="M279" i="2" s="1"/>
  <c r="O279" i="2" s="1"/>
  <c r="T278" i="2" l="1"/>
  <c r="U278" i="2" s="1"/>
  <c r="P279" i="2"/>
  <c r="H279" i="2" s="1"/>
  <c r="Q279" i="2" s="1"/>
  <c r="V279" i="2"/>
  <c r="W279" i="2" s="1"/>
  <c r="X279" i="2" s="1"/>
  <c r="Z197" i="2"/>
  <c r="AB197" i="2" l="1"/>
  <c r="AC197" i="2"/>
  <c r="F278" i="2" l="1"/>
  <c r="G198" i="2"/>
  <c r="H198" i="2" l="1"/>
  <c r="I198" i="2" s="1"/>
  <c r="J198" i="2" s="1"/>
  <c r="L198" i="2"/>
  <c r="M198" i="2" s="1"/>
  <c r="P198" i="2"/>
  <c r="Q198" i="2"/>
  <c r="W198" i="2"/>
  <c r="S278" i="2"/>
  <c r="I278" i="2"/>
  <c r="N278" i="2"/>
  <c r="R278" i="2"/>
  <c r="R198" i="2" l="1"/>
  <c r="S198" i="2" s="1"/>
  <c r="T198" i="2" s="1"/>
  <c r="U198" i="2" s="1"/>
  <c r="N198" i="2"/>
  <c r="F198" i="2" s="1"/>
  <c r="O198" i="2" s="1"/>
  <c r="K278" i="2"/>
  <c r="J278" i="2"/>
  <c r="V198" i="2" l="1"/>
  <c r="X198" i="2" s="1"/>
  <c r="Y198" i="2" s="1"/>
  <c r="AA198" i="2" s="1"/>
  <c r="L278" i="2"/>
  <c r="M278" i="2" s="1"/>
  <c r="O278" i="2" s="1"/>
  <c r="T277" i="2" l="1"/>
  <c r="U277" i="2" s="1"/>
  <c r="P278" i="2"/>
  <c r="H278" i="2" s="1"/>
  <c r="Q278" i="2" s="1"/>
  <c r="V278" i="2"/>
  <c r="W278" i="2" s="1"/>
  <c r="X278" i="2" s="1"/>
  <c r="Z198" i="2"/>
  <c r="AB198" i="2" l="1"/>
  <c r="AC198" i="2"/>
  <c r="F277" i="2" l="1"/>
  <c r="G199" i="2"/>
  <c r="H199" i="2" l="1"/>
  <c r="I199" i="2" s="1"/>
  <c r="J199" i="2" s="1"/>
  <c r="L199" i="2"/>
  <c r="M199" i="2" s="1"/>
  <c r="P199" i="2"/>
  <c r="Q199" i="2"/>
  <c r="W199" i="2"/>
  <c r="I277" i="2"/>
  <c r="N277" i="2"/>
  <c r="R277" i="2"/>
  <c r="S277" i="2"/>
  <c r="J277" i="2" l="1"/>
  <c r="K277" i="2"/>
  <c r="R199" i="2"/>
  <c r="S199" i="2" s="1"/>
  <c r="T199" i="2" s="1"/>
  <c r="U199" i="2" s="1"/>
  <c r="N199" i="2"/>
  <c r="F199" i="2" s="1"/>
  <c r="O199" i="2" s="1"/>
  <c r="V199" i="2" l="1"/>
  <c r="X199" i="2" s="1"/>
  <c r="Y199" i="2" s="1"/>
  <c r="AA199" i="2" s="1"/>
  <c r="L277" i="2"/>
  <c r="M277" i="2" s="1"/>
  <c r="O277" i="2" s="1"/>
  <c r="P277" i="2" l="1"/>
  <c r="H277" i="2" s="1"/>
  <c r="Q277" i="2" s="1"/>
  <c r="T276" i="2"/>
  <c r="U276" i="2" s="1"/>
  <c r="V277" i="2"/>
  <c r="W277" i="2" s="1"/>
  <c r="X277" i="2" s="1"/>
  <c r="Z199" i="2"/>
  <c r="AB199" i="2" l="1"/>
  <c r="AC199" i="2"/>
  <c r="G200" i="2" l="1"/>
  <c r="F276" i="2"/>
  <c r="I276" i="2" l="1"/>
  <c r="N276" i="2"/>
  <c r="R276" i="2"/>
  <c r="S276" i="2"/>
  <c r="Q200" i="2"/>
  <c r="L200" i="2"/>
  <c r="M200" i="2" s="1"/>
  <c r="P200" i="2"/>
  <c r="H200" i="2"/>
  <c r="I200" i="2" s="1"/>
  <c r="J200" i="2" s="1"/>
  <c r="W200" i="2"/>
  <c r="N200" i="2" l="1"/>
  <c r="F200" i="2" s="1"/>
  <c r="O200" i="2" s="1"/>
  <c r="R200" i="2"/>
  <c r="S200" i="2" s="1"/>
  <c r="T200" i="2" s="1"/>
  <c r="U200" i="2" s="1"/>
  <c r="J276" i="2"/>
  <c r="K276" i="2"/>
  <c r="V200" i="2" l="1"/>
  <c r="X200" i="2" s="1"/>
  <c r="Y200" i="2" s="1"/>
  <c r="AA200" i="2" s="1"/>
  <c r="L276" i="2"/>
  <c r="M276" i="2" s="1"/>
  <c r="O276" i="2" s="1"/>
  <c r="T275" i="2" l="1"/>
  <c r="U275" i="2" s="1"/>
  <c r="P276" i="2"/>
  <c r="H276" i="2" s="1"/>
  <c r="Q276" i="2" s="1"/>
  <c r="V276" i="2"/>
  <c r="W276" i="2" s="1"/>
  <c r="X276" i="2" s="1"/>
  <c r="Z200" i="2"/>
  <c r="AC200" i="2" l="1"/>
  <c r="AB200" i="2"/>
  <c r="G201" i="2" l="1"/>
  <c r="F275" i="2"/>
  <c r="L201" i="2" l="1"/>
  <c r="M201" i="2" s="1"/>
  <c r="H201" i="2"/>
  <c r="I201" i="2" s="1"/>
  <c r="J201" i="2" s="1"/>
  <c r="P201" i="2"/>
  <c r="Q201" i="2"/>
  <c r="W201" i="2"/>
  <c r="N275" i="2"/>
  <c r="R275" i="2"/>
  <c r="S275" i="2"/>
  <c r="I275" i="2"/>
  <c r="N201" i="2" l="1"/>
  <c r="F201" i="2" s="1"/>
  <c r="O201" i="2" s="1"/>
  <c r="R201" i="2"/>
  <c r="S201" i="2" s="1"/>
  <c r="T201" i="2" s="1"/>
  <c r="U201" i="2" s="1"/>
  <c r="J275" i="2"/>
  <c r="K275" i="2"/>
  <c r="V201" i="2" l="1"/>
  <c r="X201" i="2" s="1"/>
  <c r="Y201" i="2" s="1"/>
  <c r="AA201" i="2" s="1"/>
  <c r="L275" i="2"/>
  <c r="M275" i="2" s="1"/>
  <c r="O275" i="2" s="1"/>
  <c r="T274" i="2" l="1"/>
  <c r="U274" i="2" s="1"/>
  <c r="P275" i="2"/>
  <c r="H275" i="2" s="1"/>
  <c r="Q275" i="2" s="1"/>
  <c r="V275" i="2"/>
  <c r="W275" i="2" s="1"/>
  <c r="X275" i="2" s="1"/>
  <c r="Z201" i="2"/>
  <c r="AB201" i="2" l="1"/>
  <c r="AC201" i="2"/>
  <c r="G202" i="2" l="1"/>
  <c r="F274" i="2"/>
  <c r="S274" i="2" l="1"/>
  <c r="R274" i="2"/>
  <c r="I274" i="2"/>
  <c r="N274" i="2"/>
  <c r="H202" i="2"/>
  <c r="I202" i="2" s="1"/>
  <c r="J202" i="2" s="1"/>
  <c r="L202" i="2"/>
  <c r="M202" i="2" s="1"/>
  <c r="P202" i="2"/>
  <c r="Q202" i="2"/>
  <c r="W202" i="2"/>
  <c r="N202" i="2" l="1"/>
  <c r="F202" i="2" s="1"/>
  <c r="O202" i="2" s="1"/>
  <c r="R202" i="2"/>
  <c r="S202" i="2" s="1"/>
  <c r="T202" i="2"/>
  <c r="U202" i="2" s="1"/>
  <c r="K274" i="2"/>
  <c r="J274" i="2"/>
  <c r="V202" i="2" l="1"/>
  <c r="X202" i="2" s="1"/>
  <c r="Y202" i="2" s="1"/>
  <c r="AA202" i="2" s="1"/>
  <c r="L274" i="2"/>
  <c r="M274" i="2" s="1"/>
  <c r="O274" i="2" s="1"/>
  <c r="T273" i="2" l="1"/>
  <c r="U273" i="2" s="1"/>
  <c r="P274" i="2"/>
  <c r="H274" i="2" s="1"/>
  <c r="Q274" i="2" s="1"/>
  <c r="V274" i="2"/>
  <c r="W274" i="2" s="1"/>
  <c r="X274" i="2" s="1"/>
  <c r="Z202" i="2"/>
  <c r="AB202" i="2" l="1"/>
  <c r="AC202" i="2"/>
  <c r="F273" i="2" l="1"/>
  <c r="G203" i="2"/>
  <c r="H203" i="2" l="1"/>
  <c r="I203" i="2" s="1"/>
  <c r="J203" i="2" s="1"/>
  <c r="L203" i="2"/>
  <c r="M203" i="2" s="1"/>
  <c r="P203" i="2"/>
  <c r="Q203" i="2"/>
  <c r="W203" i="2"/>
  <c r="S273" i="2"/>
  <c r="I273" i="2"/>
  <c r="N273" i="2"/>
  <c r="R273" i="2"/>
  <c r="K273" i="2" l="1"/>
  <c r="J273" i="2"/>
  <c r="N203" i="2"/>
  <c r="F203" i="2" s="1"/>
  <c r="O203" i="2" s="1"/>
  <c r="R203" i="2"/>
  <c r="S203" i="2" s="1"/>
  <c r="T203" i="2" s="1"/>
  <c r="U203" i="2" s="1"/>
  <c r="V203" i="2" l="1"/>
  <c r="X203" i="2" s="1"/>
  <c r="Y203" i="2" s="1"/>
  <c r="AA203" i="2" s="1"/>
  <c r="L273" i="2"/>
  <c r="M273" i="2" s="1"/>
  <c r="O273" i="2" s="1"/>
  <c r="T272" i="2" l="1"/>
  <c r="U272" i="2" s="1"/>
  <c r="P273" i="2"/>
  <c r="H273" i="2" s="1"/>
  <c r="Q273" i="2" s="1"/>
  <c r="V273" i="2"/>
  <c r="W273" i="2" s="1"/>
  <c r="X273" i="2" s="1"/>
  <c r="Z203" i="2"/>
  <c r="AB203" i="2" l="1"/>
  <c r="AC203" i="2"/>
  <c r="G204" i="2" l="1"/>
  <c r="F272" i="2"/>
  <c r="R272" i="2" l="1"/>
  <c r="N272" i="2"/>
  <c r="I272" i="2"/>
  <c r="S272" i="2"/>
  <c r="Q204" i="2"/>
  <c r="P204" i="2"/>
  <c r="H204" i="2"/>
  <c r="I204" i="2" s="1"/>
  <c r="J204" i="2" s="1"/>
  <c r="L204" i="2"/>
  <c r="M204" i="2" s="1"/>
  <c r="W204" i="2"/>
  <c r="J272" i="2" l="1"/>
  <c r="K272" i="2"/>
  <c r="N204" i="2"/>
  <c r="F204" i="2" s="1"/>
  <c r="O204" i="2" s="1"/>
  <c r="R204" i="2"/>
  <c r="S204" i="2" s="1"/>
  <c r="T204" i="2" s="1"/>
  <c r="U204" i="2" s="1"/>
  <c r="V204" i="2" l="1"/>
  <c r="X204" i="2" s="1"/>
  <c r="Y204" i="2" s="1"/>
  <c r="AA204" i="2" s="1"/>
  <c r="L272" i="2"/>
  <c r="M272" i="2" s="1"/>
  <c r="O272" i="2" s="1"/>
  <c r="P272" i="2" l="1"/>
  <c r="H272" i="2" s="1"/>
  <c r="Q272" i="2" s="1"/>
  <c r="T271" i="2"/>
  <c r="U271" i="2" s="1"/>
  <c r="V272" i="2"/>
  <c r="W272" i="2" s="1"/>
  <c r="X272" i="2" s="1"/>
  <c r="Z204" i="2"/>
  <c r="AC204" i="2" l="1"/>
  <c r="AB204" i="2"/>
  <c r="G205" i="2" l="1"/>
  <c r="F271" i="2"/>
  <c r="I271" i="2" l="1"/>
  <c r="N271" i="2"/>
  <c r="S271" i="2"/>
  <c r="R271" i="2"/>
  <c r="H205" i="2"/>
  <c r="I205" i="2" s="1"/>
  <c r="J205" i="2" s="1"/>
  <c r="P205" i="2"/>
  <c r="L205" i="2"/>
  <c r="M205" i="2" s="1"/>
  <c r="Q205" i="2"/>
  <c r="W205" i="2"/>
  <c r="N205" i="2" l="1"/>
  <c r="F205" i="2" s="1"/>
  <c r="O205" i="2" s="1"/>
  <c r="R205" i="2"/>
  <c r="S205" i="2" s="1"/>
  <c r="T205" i="2" s="1"/>
  <c r="U205" i="2" s="1"/>
  <c r="K271" i="2"/>
  <c r="J271" i="2"/>
  <c r="V205" i="2" l="1"/>
  <c r="X205" i="2" s="1"/>
  <c r="Y205" i="2" s="1"/>
  <c r="AA205" i="2" s="1"/>
  <c r="L271" i="2"/>
  <c r="M271" i="2" s="1"/>
  <c r="O271" i="2" s="1"/>
  <c r="P271" i="2" l="1"/>
  <c r="H271" i="2" s="1"/>
  <c r="Q271" i="2" s="1"/>
  <c r="T270" i="2"/>
  <c r="U270" i="2" s="1"/>
  <c r="V271" i="2"/>
  <c r="W271" i="2" s="1"/>
  <c r="X271" i="2" s="1"/>
  <c r="Z205" i="2"/>
  <c r="AB205" i="2" l="1"/>
  <c r="AC205" i="2"/>
  <c r="G206" i="2" l="1"/>
  <c r="F270" i="2"/>
  <c r="N270" i="2" l="1"/>
  <c r="R270" i="2"/>
  <c r="I270" i="2"/>
  <c r="S270" i="2"/>
  <c r="H206" i="2"/>
  <c r="I206" i="2" s="1"/>
  <c r="J206" i="2" s="1"/>
  <c r="L206" i="2"/>
  <c r="M206" i="2" s="1"/>
  <c r="P206" i="2"/>
  <c r="Q206" i="2"/>
  <c r="W206" i="2"/>
  <c r="N206" i="2" l="1"/>
  <c r="F206" i="2" s="1"/>
  <c r="O206" i="2" s="1"/>
  <c r="R206" i="2"/>
  <c r="S206" i="2" s="1"/>
  <c r="T206" i="2" s="1"/>
  <c r="U206" i="2" s="1"/>
  <c r="J270" i="2"/>
  <c r="K270" i="2"/>
  <c r="V206" i="2" l="1"/>
  <c r="X206" i="2" s="1"/>
  <c r="Y206" i="2" s="1"/>
  <c r="AA206" i="2" s="1"/>
  <c r="L270" i="2"/>
  <c r="M270" i="2" s="1"/>
  <c r="O270" i="2" s="1"/>
  <c r="P270" i="2" l="1"/>
  <c r="H270" i="2" s="1"/>
  <c r="Q270" i="2" s="1"/>
  <c r="T269" i="2"/>
  <c r="U269" i="2" s="1"/>
  <c r="V270" i="2"/>
  <c r="W270" i="2" s="1"/>
  <c r="X270" i="2" s="1"/>
  <c r="Z206" i="2"/>
  <c r="AB206" i="2" l="1"/>
  <c r="AC206" i="2"/>
  <c r="F269" i="2" l="1"/>
  <c r="G207" i="2"/>
  <c r="H207" i="2" l="1"/>
  <c r="I207" i="2" s="1"/>
  <c r="J207" i="2" s="1"/>
  <c r="L207" i="2"/>
  <c r="M207" i="2" s="1"/>
  <c r="P207" i="2"/>
  <c r="Q207" i="2"/>
  <c r="W207" i="2"/>
  <c r="S269" i="2"/>
  <c r="R269" i="2"/>
  <c r="I269" i="2"/>
  <c r="N269" i="2"/>
  <c r="K269" i="2" l="1"/>
  <c r="J269" i="2"/>
  <c r="R207" i="2"/>
  <c r="S207" i="2" s="1"/>
  <c r="T207" i="2" s="1"/>
  <c r="U207" i="2" s="1"/>
  <c r="N207" i="2"/>
  <c r="F207" i="2" s="1"/>
  <c r="O207" i="2" s="1"/>
  <c r="V207" i="2" l="1"/>
  <c r="X207" i="2" s="1"/>
  <c r="Y207" i="2" s="1"/>
  <c r="AA207" i="2" s="1"/>
  <c r="L269" i="2"/>
  <c r="M269" i="2" s="1"/>
  <c r="O269" i="2" s="1"/>
  <c r="T268" i="2" l="1"/>
  <c r="U268" i="2" s="1"/>
  <c r="P269" i="2"/>
  <c r="H269" i="2" s="1"/>
  <c r="Q269" i="2" s="1"/>
  <c r="V269" i="2"/>
  <c r="W269" i="2" s="1"/>
  <c r="X269" i="2" s="1"/>
  <c r="Z207" i="2"/>
  <c r="AB207" i="2" l="1"/>
  <c r="AC207" i="2"/>
  <c r="G208" i="2" l="1"/>
  <c r="F268" i="2"/>
  <c r="Q208" i="2" l="1"/>
  <c r="H208" i="2"/>
  <c r="I208" i="2" s="1"/>
  <c r="J208" i="2" s="1"/>
  <c r="L208" i="2"/>
  <c r="M208" i="2" s="1"/>
  <c r="P208" i="2"/>
  <c r="W208" i="2"/>
  <c r="I268" i="2"/>
  <c r="N268" i="2"/>
  <c r="S268" i="2"/>
  <c r="R268" i="2"/>
  <c r="K268" i="2" l="1"/>
  <c r="J268" i="2"/>
  <c r="N208" i="2"/>
  <c r="F208" i="2" s="1"/>
  <c r="O208" i="2" s="1"/>
  <c r="R208" i="2"/>
  <c r="S208" i="2" s="1"/>
  <c r="T208" i="2" s="1"/>
  <c r="U208" i="2" s="1"/>
  <c r="V208" i="2" l="1"/>
  <c r="X208" i="2" s="1"/>
  <c r="Y208" i="2" s="1"/>
  <c r="AA208" i="2" s="1"/>
  <c r="L268" i="2"/>
  <c r="M268" i="2" s="1"/>
  <c r="O268" i="2" s="1"/>
  <c r="P268" i="2" l="1"/>
  <c r="H268" i="2" s="1"/>
  <c r="Q268" i="2" s="1"/>
  <c r="T267" i="2"/>
  <c r="U267" i="2" s="1"/>
  <c r="V268" i="2"/>
  <c r="W268" i="2" s="1"/>
  <c r="X268" i="2" s="1"/>
  <c r="Z208" i="2"/>
  <c r="AC208" i="2" l="1"/>
  <c r="AB208" i="2"/>
  <c r="G209" i="2" l="1"/>
  <c r="F267" i="2"/>
  <c r="I267" i="2" l="1"/>
  <c r="R267" i="2"/>
  <c r="S267" i="2"/>
  <c r="N267" i="2"/>
  <c r="L209" i="2"/>
  <c r="M209" i="2" s="1"/>
  <c r="H209" i="2"/>
  <c r="I209" i="2" s="1"/>
  <c r="J209" i="2" s="1"/>
  <c r="P209" i="2"/>
  <c r="Q209" i="2"/>
  <c r="W209" i="2"/>
  <c r="N209" i="2" l="1"/>
  <c r="F209" i="2" s="1"/>
  <c r="O209" i="2" s="1"/>
  <c r="R209" i="2"/>
  <c r="S209" i="2" s="1"/>
  <c r="T209" i="2" s="1"/>
  <c r="U209" i="2" s="1"/>
  <c r="J267" i="2"/>
  <c r="K267" i="2"/>
  <c r="V209" i="2" l="1"/>
  <c r="X209" i="2" s="1"/>
  <c r="Y209" i="2" s="1"/>
  <c r="AA209" i="2" s="1"/>
  <c r="L267" i="2"/>
  <c r="M267" i="2" s="1"/>
  <c r="O267" i="2" s="1"/>
  <c r="T266" i="2" l="1"/>
  <c r="U266" i="2" s="1"/>
  <c r="P267" i="2"/>
  <c r="H267" i="2" s="1"/>
  <c r="Q267" i="2" s="1"/>
  <c r="V267" i="2"/>
  <c r="W267" i="2" s="1"/>
  <c r="X267" i="2" s="1"/>
  <c r="Z209" i="2"/>
  <c r="AB209" i="2" l="1"/>
  <c r="AC209" i="2"/>
  <c r="G210" i="2" l="1"/>
  <c r="F266" i="2"/>
  <c r="N266" i="2" l="1"/>
  <c r="R266" i="2"/>
  <c r="S266" i="2"/>
  <c r="I266" i="2"/>
  <c r="H210" i="2"/>
  <c r="I210" i="2" s="1"/>
  <c r="J210" i="2" s="1"/>
  <c r="L210" i="2"/>
  <c r="M210" i="2" s="1"/>
  <c r="P210" i="2"/>
  <c r="Q210" i="2"/>
  <c r="W210" i="2"/>
  <c r="J266" i="2" l="1"/>
  <c r="K266" i="2"/>
  <c r="N210" i="2"/>
  <c r="F210" i="2" s="1"/>
  <c r="O210" i="2" s="1"/>
  <c r="R210" i="2"/>
  <c r="S210" i="2" s="1"/>
  <c r="T210" i="2" s="1"/>
  <c r="U210" i="2" s="1"/>
  <c r="V210" i="2" l="1"/>
  <c r="X210" i="2" s="1"/>
  <c r="Y210" i="2" s="1"/>
  <c r="AA210" i="2" s="1"/>
  <c r="L266" i="2"/>
  <c r="M266" i="2" s="1"/>
  <c r="O266" i="2" s="1"/>
  <c r="P266" i="2" l="1"/>
  <c r="H266" i="2" s="1"/>
  <c r="Q266" i="2" s="1"/>
  <c r="T265" i="2"/>
  <c r="U265" i="2" s="1"/>
  <c r="V266" i="2"/>
  <c r="W266" i="2" s="1"/>
  <c r="X266" i="2" s="1"/>
  <c r="Z210" i="2"/>
  <c r="AB210" i="2" l="1"/>
  <c r="AC210" i="2"/>
  <c r="G211" i="2" l="1"/>
  <c r="F265" i="2"/>
  <c r="S265" i="2" l="1"/>
  <c r="I265" i="2"/>
  <c r="N265" i="2"/>
  <c r="R265" i="2"/>
  <c r="Q211" i="2"/>
  <c r="U211" i="2" s="1"/>
  <c r="L211" i="2"/>
  <c r="M211" i="2" s="1"/>
  <c r="N211" i="2" s="1"/>
  <c r="H211" i="2"/>
  <c r="P211" i="2"/>
  <c r="B213" i="2"/>
  <c r="E213" i="2" s="1"/>
  <c r="W211" i="2"/>
  <c r="V211" i="2" l="1"/>
  <c r="X211" i="2" s="1"/>
  <c r="Y211" i="2" s="1"/>
  <c r="AA211" i="2" s="1"/>
  <c r="B552" i="2" s="1"/>
  <c r="I211" i="2"/>
  <c r="J211" i="2" s="1"/>
  <c r="O211" i="2" s="1"/>
  <c r="B224" i="2" s="1"/>
  <c r="K265" i="2"/>
  <c r="J265" i="2"/>
  <c r="E224" i="2" l="1"/>
  <c r="L265" i="2"/>
  <c r="M265" i="2" s="1"/>
  <c r="O265" i="2" s="1"/>
  <c r="Z211" i="2"/>
  <c r="T264" i="2" l="1"/>
  <c r="U264" i="2" s="1"/>
  <c r="P265" i="2"/>
  <c r="H265" i="2" s="1"/>
  <c r="Q265" i="2" s="1"/>
  <c r="V265" i="2"/>
  <c r="W265" i="2" s="1"/>
  <c r="X265" i="2" s="1"/>
  <c r="AB211" i="2"/>
  <c r="F264" i="2" s="1"/>
  <c r="AC211" i="2"/>
  <c r="B216" i="2" s="1"/>
  <c r="B551" i="2"/>
  <c r="R264" i="2" l="1"/>
  <c r="N264" i="2"/>
  <c r="I264" i="2"/>
  <c r="S264" i="2"/>
  <c r="AP264" i="2"/>
  <c r="AR264" i="2"/>
  <c r="B553" i="2"/>
  <c r="B217" i="2"/>
  <c r="B222" i="2" s="1"/>
  <c r="D222" i="2" l="1"/>
  <c r="B250" i="2"/>
  <c r="B251" i="2" s="1"/>
  <c r="J264" i="2"/>
  <c r="K264" i="2"/>
  <c r="AT264" i="2"/>
  <c r="L264" i="2" l="1"/>
  <c r="M264" i="2" s="1"/>
  <c r="O264" i="2" s="1"/>
  <c r="AC264" i="2"/>
  <c r="AD264" i="2" s="1"/>
  <c r="AF264" i="2" s="1"/>
  <c r="AV264" i="2"/>
  <c r="P264" i="2" l="1"/>
  <c r="H264" i="2" s="1"/>
  <c r="Q264" i="2" s="1"/>
  <c r="T263" i="2"/>
  <c r="V264" i="2"/>
  <c r="W264" i="2" s="1"/>
  <c r="X264" i="2" s="1"/>
  <c r="AG264" i="2"/>
  <c r="Z264" i="2" s="1"/>
  <c r="AH264" i="2" s="1"/>
  <c r="D265" i="2" s="1"/>
  <c r="AK264" i="2"/>
  <c r="AL264" i="2" s="1"/>
  <c r="AM264" i="2" s="1"/>
  <c r="AN264" i="2" s="1"/>
  <c r="AO264" i="2" s="1"/>
  <c r="AS264" i="2" l="1"/>
  <c r="AW264" i="2"/>
  <c r="AQ264" i="2"/>
  <c r="AU264" i="2"/>
  <c r="AX264" i="2" l="1"/>
  <c r="BC264" i="2" l="1"/>
  <c r="AY264" i="2"/>
  <c r="AZ264" i="2" s="1"/>
  <c r="BA264" i="2" s="1"/>
  <c r="BB264" i="2" s="1"/>
  <c r="BG264" i="2" l="1"/>
  <c r="BD264" i="2"/>
  <c r="BE264" i="2"/>
  <c r="BF264" i="2"/>
  <c r="BI264" i="2" l="1"/>
  <c r="BH264" i="2"/>
  <c r="BK264" i="2" s="1"/>
  <c r="BJ264" i="2"/>
  <c r="AP265" i="2" l="1"/>
  <c r="BL264" i="2"/>
  <c r="BM264" i="2"/>
  <c r="BN264" i="2"/>
  <c r="BO264" i="2" l="1"/>
  <c r="AT265" i="2"/>
  <c r="AR265" i="2"/>
  <c r="AQ265" i="2"/>
  <c r="AV265" i="2" l="1"/>
  <c r="AU265" i="2"/>
  <c r="BP264" i="2"/>
  <c r="C265" i="2" s="1"/>
  <c r="E265" i="2"/>
  <c r="AB265" i="2" l="1"/>
  <c r="AE265" i="2"/>
  <c r="AJ265" i="2"/>
  <c r="AI265" i="2"/>
  <c r="AA265" i="2"/>
  <c r="AC265" i="2" l="1"/>
  <c r="AD265" i="2" s="1"/>
  <c r="AF265" i="2" s="1"/>
  <c r="AK265" i="2" l="1"/>
  <c r="AL265" i="2" s="1"/>
  <c r="AM265" i="2" s="1"/>
  <c r="AN265" i="2" s="1"/>
  <c r="AO265" i="2" s="1"/>
  <c r="AG265" i="2"/>
  <c r="Z265" i="2" s="1"/>
  <c r="AH265" i="2" s="1"/>
  <c r="D266" i="2" s="1"/>
  <c r="AS265" i="2" l="1"/>
  <c r="AW265" i="2"/>
  <c r="AX265" i="2" l="1"/>
  <c r="BC265" i="2" l="1"/>
  <c r="AY265" i="2"/>
  <c r="AZ265" i="2" s="1"/>
  <c r="BA265" i="2" s="1"/>
  <c r="BB265" i="2" s="1"/>
  <c r="BG265" i="2" l="1"/>
  <c r="BD265" i="2"/>
  <c r="BE265" i="2"/>
  <c r="BF265" i="2"/>
  <c r="BI265" i="2" l="1"/>
  <c r="BH265" i="2"/>
  <c r="BK265" i="2" s="1"/>
  <c r="BJ265" i="2"/>
  <c r="AP266" i="2" l="1"/>
  <c r="BM265" i="2"/>
  <c r="BL265" i="2"/>
  <c r="BN265" i="2"/>
  <c r="BO265" i="2" s="1"/>
  <c r="BP265" i="2" l="1"/>
  <c r="C266" i="2" s="1"/>
  <c r="E266" i="2"/>
  <c r="AT266" i="2"/>
  <c r="AR266" i="2"/>
  <c r="AQ266" i="2"/>
  <c r="AU266" i="2" l="1"/>
  <c r="AV266" i="2"/>
  <c r="AA266" i="2"/>
  <c r="AE266" i="2"/>
  <c r="AB266" i="2"/>
  <c r="AJ266" i="2"/>
  <c r="AI266" i="2"/>
  <c r="AC266" i="2" l="1"/>
  <c r="AD266" i="2" s="1"/>
  <c r="AF266" i="2" s="1"/>
  <c r="AG266" i="2" l="1"/>
  <c r="Z266" i="2" s="1"/>
  <c r="AH266" i="2" s="1"/>
  <c r="D267" i="2" s="1"/>
  <c r="AK266" i="2"/>
  <c r="AL266" i="2" s="1"/>
  <c r="AM266" i="2" s="1"/>
  <c r="AN266" i="2" s="1"/>
  <c r="AO266" i="2" s="1"/>
  <c r="AW266" i="2" l="1"/>
  <c r="AS266" i="2"/>
  <c r="AX266" i="2" s="1"/>
  <c r="BC266" i="2" s="1"/>
  <c r="BG266" i="2" l="1"/>
  <c r="BD266" i="2"/>
  <c r="BE266" i="2"/>
  <c r="AY266" i="2"/>
  <c r="AZ266" i="2" s="1"/>
  <c r="BA266" i="2" s="1"/>
  <c r="BB266" i="2" s="1"/>
  <c r="BF266" i="2" l="1"/>
  <c r="BK266" i="2" s="1"/>
  <c r="BH266" i="2"/>
  <c r="BI266" i="2"/>
  <c r="BJ266" i="2"/>
  <c r="AP267" i="2" l="1"/>
  <c r="BL266" i="2"/>
  <c r="BM266" i="2"/>
  <c r="BN266" i="2"/>
  <c r="BO266" i="2" l="1"/>
  <c r="AT267" i="2"/>
  <c r="AQ267" i="2"/>
  <c r="AR267" i="2"/>
  <c r="AV267" i="2" l="1"/>
  <c r="AU267" i="2"/>
  <c r="E267" i="2"/>
  <c r="BP266" i="2"/>
  <c r="C267" i="2" s="1"/>
  <c r="AA267" i="2" l="1"/>
  <c r="AE267" i="2"/>
  <c r="AB267" i="2"/>
  <c r="AJ267" i="2"/>
  <c r="AI267" i="2"/>
  <c r="AC267" i="2" l="1"/>
  <c r="AD267" i="2" s="1"/>
  <c r="AF267" i="2" s="1"/>
  <c r="AK267" i="2" l="1"/>
  <c r="AL267" i="2" s="1"/>
  <c r="AM267" i="2" s="1"/>
  <c r="AN267" i="2" s="1"/>
  <c r="AO267" i="2" s="1"/>
  <c r="AG267" i="2"/>
  <c r="Z267" i="2" s="1"/>
  <c r="AH267" i="2" s="1"/>
  <c r="D268" i="2" s="1"/>
  <c r="AS267" i="2" l="1"/>
  <c r="AX267" i="2" s="1"/>
  <c r="BC267" i="2" s="1"/>
  <c r="AW267" i="2"/>
  <c r="BG267" i="2" l="1"/>
  <c r="BD267" i="2"/>
  <c r="BE267" i="2"/>
  <c r="AY267" i="2"/>
  <c r="AZ267" i="2" s="1"/>
  <c r="BA267" i="2" s="1"/>
  <c r="BB267" i="2" s="1"/>
  <c r="BF267" i="2" s="1"/>
  <c r="BH267" i="2" l="1"/>
  <c r="BK267" i="2" s="1"/>
  <c r="BI267" i="2"/>
  <c r="BJ267" i="2"/>
  <c r="AP268" i="2" l="1"/>
  <c r="BM267" i="2"/>
  <c r="BL267" i="2"/>
  <c r="BN267" i="2"/>
  <c r="BO267" i="2" s="1"/>
  <c r="BP267" i="2" l="1"/>
  <c r="C268" i="2" s="1"/>
  <c r="E268" i="2"/>
  <c r="AT268" i="2"/>
  <c r="AR268" i="2"/>
  <c r="AQ268" i="2"/>
  <c r="AU268" i="2" l="1"/>
  <c r="AV268" i="2"/>
  <c r="AA268" i="2"/>
  <c r="AE268" i="2"/>
  <c r="AB268" i="2"/>
  <c r="AI268" i="2"/>
  <c r="AJ268" i="2"/>
  <c r="AC268" i="2" l="1"/>
  <c r="AD268" i="2" s="1"/>
  <c r="AF268" i="2" s="1"/>
  <c r="AG268" i="2" l="1"/>
  <c r="Z268" i="2" s="1"/>
  <c r="AH268" i="2" s="1"/>
  <c r="D269" i="2" s="1"/>
  <c r="AK268" i="2"/>
  <c r="AL268" i="2" s="1"/>
  <c r="AM268" i="2" s="1"/>
  <c r="AN268" i="2" s="1"/>
  <c r="AO268" i="2" s="1"/>
  <c r="AS268" i="2" l="1"/>
  <c r="AW268" i="2"/>
  <c r="AX268" i="2" l="1"/>
  <c r="BC268" i="2" l="1"/>
  <c r="AY268" i="2"/>
  <c r="AZ268" i="2" s="1"/>
  <c r="BA268" i="2" s="1"/>
  <c r="BB268" i="2" s="1"/>
  <c r="BG268" i="2" l="1"/>
  <c r="BD268" i="2"/>
  <c r="BE268" i="2"/>
  <c r="BF268" i="2"/>
  <c r="BH268" i="2" l="1"/>
  <c r="BK268" i="2" s="1"/>
  <c r="BI268" i="2"/>
  <c r="BJ268" i="2"/>
  <c r="AP269" i="2" l="1"/>
  <c r="BL268" i="2"/>
  <c r="BM268" i="2"/>
  <c r="BN268" i="2"/>
  <c r="BO268" i="2" s="1"/>
  <c r="BP268" i="2" l="1"/>
  <c r="C269" i="2" s="1"/>
  <c r="E269" i="2"/>
  <c r="AT269" i="2"/>
  <c r="AQ269" i="2"/>
  <c r="AR269" i="2"/>
  <c r="AA269" i="2" l="1"/>
  <c r="AU269" i="2"/>
  <c r="AV269" i="2"/>
  <c r="AB269" i="2"/>
  <c r="AE269" i="2"/>
  <c r="AI269" i="2"/>
  <c r="AJ269" i="2"/>
  <c r="AC269" i="2" l="1"/>
  <c r="AD269" i="2" s="1"/>
  <c r="AF269" i="2" s="1"/>
  <c r="AG269" i="2" l="1"/>
  <c r="Z269" i="2" s="1"/>
  <c r="AH269" i="2" s="1"/>
  <c r="D270" i="2" s="1"/>
  <c r="AK269" i="2"/>
  <c r="AL269" i="2" s="1"/>
  <c r="AM269" i="2" s="1"/>
  <c r="AN269" i="2" s="1"/>
  <c r="AO269" i="2" s="1"/>
  <c r="AW269" i="2" l="1"/>
  <c r="AS269" i="2"/>
  <c r="AX269" i="2" s="1"/>
  <c r="BC269" i="2" s="1"/>
  <c r="BG269" i="2" l="1"/>
  <c r="BE269" i="2"/>
  <c r="BD269" i="2"/>
  <c r="AY269" i="2"/>
  <c r="AZ269" i="2" s="1"/>
  <c r="BA269" i="2" s="1"/>
  <c r="BB269" i="2" s="1"/>
  <c r="BF269" i="2" l="1"/>
  <c r="BK269" i="2" s="1"/>
  <c r="BI269" i="2"/>
  <c r="BH269" i="2"/>
  <c r="BJ269" i="2"/>
  <c r="AP270" i="2" l="1"/>
  <c r="BM269" i="2"/>
  <c r="BL269" i="2"/>
  <c r="BN269" i="2"/>
  <c r="BO269" i="2" s="1"/>
  <c r="BP269" i="2" l="1"/>
  <c r="C270" i="2" s="1"/>
  <c r="E270" i="2"/>
  <c r="AT270" i="2"/>
  <c r="AQ270" i="2"/>
  <c r="AR270" i="2"/>
  <c r="AV270" i="2" l="1"/>
  <c r="AU270" i="2"/>
  <c r="AA270" i="2"/>
  <c r="AE270" i="2"/>
  <c r="AB270" i="2"/>
  <c r="AJ270" i="2"/>
  <c r="AI270" i="2"/>
  <c r="AC270" i="2" l="1"/>
  <c r="AD270" i="2" s="1"/>
  <c r="AF270" i="2" s="1"/>
  <c r="AK270" i="2" l="1"/>
  <c r="AL270" i="2" s="1"/>
  <c r="AM270" i="2" s="1"/>
  <c r="AN270" i="2" s="1"/>
  <c r="AO270" i="2" s="1"/>
  <c r="AG270" i="2"/>
  <c r="Z270" i="2" s="1"/>
  <c r="AH270" i="2" s="1"/>
  <c r="D271" i="2" s="1"/>
  <c r="AS270" i="2" l="1"/>
  <c r="AX270" i="2" s="1"/>
  <c r="BC270" i="2" s="1"/>
  <c r="AW270" i="2"/>
  <c r="BG270" i="2" l="1"/>
  <c r="BD270" i="2"/>
  <c r="BE270" i="2"/>
  <c r="AY270" i="2"/>
  <c r="AZ270" i="2" s="1"/>
  <c r="BA270" i="2" s="1"/>
  <c r="BB270" i="2" s="1"/>
  <c r="BF270" i="2" l="1"/>
  <c r="BK270" i="2" s="1"/>
  <c r="BI270" i="2"/>
  <c r="BH270" i="2"/>
  <c r="BJ270" i="2"/>
  <c r="AP271" i="2" l="1"/>
  <c r="BM270" i="2"/>
  <c r="BL270" i="2"/>
  <c r="BN270" i="2"/>
  <c r="BO270" i="2" s="1"/>
  <c r="E271" i="2" l="1"/>
  <c r="BP270" i="2"/>
  <c r="C271" i="2" s="1"/>
  <c r="AT271" i="2"/>
  <c r="AR271" i="2"/>
  <c r="AQ271" i="2"/>
  <c r="AU271" i="2" l="1"/>
  <c r="AV271" i="2"/>
  <c r="AB271" i="2"/>
  <c r="AE271" i="2"/>
  <c r="AI271" i="2"/>
  <c r="AJ271" i="2"/>
  <c r="AA271" i="2"/>
  <c r="AC271" i="2" l="1"/>
  <c r="AD271" i="2" s="1"/>
  <c r="AF271" i="2" s="1"/>
  <c r="AG271" i="2" l="1"/>
  <c r="Z271" i="2" s="1"/>
  <c r="AH271" i="2" s="1"/>
  <c r="D272" i="2" s="1"/>
  <c r="AK271" i="2"/>
  <c r="AL271" i="2" s="1"/>
  <c r="AM271" i="2" s="1"/>
  <c r="AN271" i="2" s="1"/>
  <c r="AO271" i="2" s="1"/>
  <c r="AW271" i="2" l="1"/>
  <c r="AS271" i="2"/>
  <c r="AX271" i="2" s="1"/>
  <c r="BC271" i="2" s="1"/>
  <c r="BG271" i="2" l="1"/>
  <c r="BD271" i="2"/>
  <c r="BE271" i="2"/>
  <c r="AY271" i="2"/>
  <c r="AZ271" i="2" s="1"/>
  <c r="BA271" i="2" s="1"/>
  <c r="BB271" i="2" s="1"/>
  <c r="BF271" i="2" s="1"/>
  <c r="BI271" i="2" l="1"/>
  <c r="BH271" i="2"/>
  <c r="BK271" i="2" s="1"/>
  <c r="BJ271" i="2"/>
  <c r="AP272" i="2" l="1"/>
  <c r="BM271" i="2"/>
  <c r="BL271" i="2"/>
  <c r="BN271" i="2"/>
  <c r="BO271" i="2" s="1"/>
  <c r="E272" i="2" l="1"/>
  <c r="BP271" i="2"/>
  <c r="C272" i="2" s="1"/>
  <c r="AT272" i="2"/>
  <c r="AQ272" i="2"/>
  <c r="AR272" i="2"/>
  <c r="AU272" i="2" l="1"/>
  <c r="AV272" i="2"/>
  <c r="AB272" i="2"/>
  <c r="AE272" i="2"/>
  <c r="AJ272" i="2"/>
  <c r="AI272" i="2"/>
  <c r="AA272" i="2"/>
  <c r="AC272" i="2" l="1"/>
  <c r="AD272" i="2" s="1"/>
  <c r="AF272" i="2" s="1"/>
  <c r="AG272" i="2" l="1"/>
  <c r="Z272" i="2" s="1"/>
  <c r="AH272" i="2" s="1"/>
  <c r="D273" i="2" s="1"/>
  <c r="AK272" i="2"/>
  <c r="AL272" i="2" s="1"/>
  <c r="AM272" i="2"/>
  <c r="AN272" i="2" s="1"/>
  <c r="AO272" i="2" s="1"/>
  <c r="AS272" i="2" l="1"/>
  <c r="AX272" i="2" s="1"/>
  <c r="BC272" i="2" s="1"/>
  <c r="AW272" i="2"/>
  <c r="AY272" i="2" l="1"/>
  <c r="AZ272" i="2" s="1"/>
  <c r="BA272" i="2" s="1"/>
  <c r="BB272" i="2" s="1"/>
  <c r="BG272" i="2"/>
  <c r="BE272" i="2"/>
  <c r="BD272" i="2"/>
  <c r="BI272" i="2" l="1"/>
  <c r="BH272" i="2"/>
  <c r="BJ272" i="2"/>
  <c r="BF272" i="2"/>
  <c r="BK272" i="2" s="1"/>
  <c r="AP273" i="2" l="1"/>
  <c r="BL272" i="2"/>
  <c r="BM272" i="2"/>
  <c r="BN272" i="2"/>
  <c r="BO272" i="2" l="1"/>
  <c r="AT273" i="2"/>
  <c r="AR273" i="2"/>
  <c r="AQ273" i="2"/>
  <c r="AU273" i="2" l="1"/>
  <c r="AV273" i="2"/>
  <c r="BP272" i="2"/>
  <c r="C273" i="2" s="1"/>
  <c r="E273" i="2"/>
  <c r="AB273" i="2" l="1"/>
  <c r="AE273" i="2"/>
  <c r="AJ273" i="2"/>
  <c r="AI273" i="2"/>
  <c r="AA273" i="2"/>
  <c r="AC273" i="2" l="1"/>
  <c r="AD273" i="2" s="1"/>
  <c r="AF273" i="2" s="1"/>
  <c r="AK273" i="2" l="1"/>
  <c r="AL273" i="2" s="1"/>
  <c r="AM273" i="2" s="1"/>
  <c r="AN273" i="2" s="1"/>
  <c r="AO273" i="2" s="1"/>
  <c r="AG273" i="2"/>
  <c r="Z273" i="2" s="1"/>
  <c r="AH273" i="2" s="1"/>
  <c r="D274" i="2" s="1"/>
  <c r="AS273" i="2" l="1"/>
  <c r="AW273" i="2"/>
  <c r="AX273" i="2" l="1"/>
  <c r="BC273" i="2" l="1"/>
  <c r="AY273" i="2"/>
  <c r="AZ273" i="2" s="1"/>
  <c r="BA273" i="2" s="1"/>
  <c r="BB273" i="2" s="1"/>
  <c r="BG273" i="2" l="1"/>
  <c r="BE273" i="2"/>
  <c r="BD273" i="2"/>
  <c r="BF273" i="2"/>
  <c r="BH273" i="2" l="1"/>
  <c r="BK273" i="2" s="1"/>
  <c r="BI273" i="2"/>
  <c r="BJ273" i="2"/>
  <c r="AP274" i="2" l="1"/>
  <c r="BL273" i="2"/>
  <c r="BM273" i="2"/>
  <c r="BN273" i="2"/>
  <c r="BO273" i="2" s="1"/>
  <c r="BP273" i="2" l="1"/>
  <c r="C274" i="2" s="1"/>
  <c r="E274" i="2"/>
  <c r="AT274" i="2"/>
  <c r="AR274" i="2"/>
  <c r="AQ274" i="2"/>
  <c r="AU274" i="2" l="1"/>
  <c r="AV274" i="2"/>
  <c r="AA274" i="2"/>
  <c r="AB274" i="2"/>
  <c r="AE274" i="2"/>
  <c r="AI274" i="2"/>
  <c r="AJ274" i="2"/>
  <c r="AC274" i="2" l="1"/>
  <c r="AD274" i="2" s="1"/>
  <c r="AF274" i="2" s="1"/>
  <c r="AK274" i="2" l="1"/>
  <c r="AL274" i="2" s="1"/>
  <c r="AM274" i="2" s="1"/>
  <c r="AN274" i="2" s="1"/>
  <c r="AO274" i="2" s="1"/>
  <c r="AG274" i="2"/>
  <c r="Z274" i="2" s="1"/>
  <c r="AH274" i="2" s="1"/>
  <c r="D275" i="2" s="1"/>
  <c r="AS274" i="2" l="1"/>
  <c r="AW274" i="2"/>
  <c r="AX274" i="2" l="1"/>
  <c r="BC274" i="2" l="1"/>
  <c r="AY274" i="2"/>
  <c r="AZ274" i="2" s="1"/>
  <c r="BA274" i="2" s="1"/>
  <c r="BB274" i="2" s="1"/>
  <c r="BG274" i="2" l="1"/>
  <c r="BD274" i="2"/>
  <c r="BE274" i="2"/>
  <c r="BF274" i="2"/>
  <c r="BI274" i="2" l="1"/>
  <c r="BH274" i="2"/>
  <c r="BK274" i="2" s="1"/>
  <c r="BJ274" i="2"/>
  <c r="AP275" i="2" l="1"/>
  <c r="BL274" i="2"/>
  <c r="BM274" i="2"/>
  <c r="BN274" i="2"/>
  <c r="BO274" i="2" l="1"/>
  <c r="AT275" i="2"/>
  <c r="AR275" i="2"/>
  <c r="AQ275" i="2"/>
  <c r="AV275" i="2" l="1"/>
  <c r="AU275" i="2"/>
  <c r="BP274" i="2"/>
  <c r="C275" i="2" s="1"/>
  <c r="E275" i="2"/>
  <c r="AE275" i="2" l="1"/>
  <c r="AB275" i="2"/>
  <c r="AJ275" i="2"/>
  <c r="AI275" i="2"/>
  <c r="AA275" i="2"/>
  <c r="AC275" i="2" l="1"/>
  <c r="AD275" i="2" s="1"/>
  <c r="AF275" i="2" s="1"/>
  <c r="AG275" i="2" l="1"/>
  <c r="Z275" i="2" s="1"/>
  <c r="AH275" i="2" s="1"/>
  <c r="D276" i="2" s="1"/>
  <c r="AK275" i="2"/>
  <c r="AL275" i="2" s="1"/>
  <c r="AM275" i="2" s="1"/>
  <c r="AN275" i="2" s="1"/>
  <c r="AO275" i="2" s="1"/>
  <c r="AS275" i="2" l="1"/>
  <c r="AW275" i="2"/>
  <c r="AX275" i="2" l="1"/>
  <c r="BC275" i="2" l="1"/>
  <c r="AY275" i="2"/>
  <c r="AZ275" i="2" s="1"/>
  <c r="BA275" i="2" s="1"/>
  <c r="BB275" i="2" s="1"/>
  <c r="BG275" i="2" l="1"/>
  <c r="BE275" i="2"/>
  <c r="BD275" i="2"/>
  <c r="BF275" i="2"/>
  <c r="BI275" i="2" l="1"/>
  <c r="BK275" i="2" s="1"/>
  <c r="BH275" i="2"/>
  <c r="BJ275" i="2"/>
  <c r="AP276" i="2" l="1"/>
  <c r="BL275" i="2"/>
  <c r="BM275" i="2"/>
  <c r="BN275" i="2"/>
  <c r="BO275" i="2" l="1"/>
  <c r="AT276" i="2"/>
  <c r="AR276" i="2"/>
  <c r="AQ276" i="2"/>
  <c r="AU276" i="2" l="1"/>
  <c r="AV276" i="2"/>
  <c r="E276" i="2"/>
  <c r="BP275" i="2"/>
  <c r="C276" i="2" s="1"/>
  <c r="AE276" i="2" l="1"/>
  <c r="AB276" i="2"/>
  <c r="AJ276" i="2"/>
  <c r="AI276" i="2"/>
  <c r="AA276" i="2"/>
  <c r="AC276" i="2" l="1"/>
  <c r="AD276" i="2" s="1"/>
  <c r="AF276" i="2" s="1"/>
  <c r="AG276" i="2" l="1"/>
  <c r="Z276" i="2" s="1"/>
  <c r="AH276" i="2" s="1"/>
  <c r="D277" i="2" s="1"/>
  <c r="AK276" i="2"/>
  <c r="AL276" i="2" s="1"/>
  <c r="AM276" i="2" s="1"/>
  <c r="AN276" i="2" s="1"/>
  <c r="AO276" i="2" s="1"/>
  <c r="AS276" i="2" l="1"/>
  <c r="AW276" i="2"/>
  <c r="AX276" i="2" l="1"/>
  <c r="BC276" i="2" l="1"/>
  <c r="AY276" i="2"/>
  <c r="AZ276" i="2" s="1"/>
  <c r="BA276" i="2" s="1"/>
  <c r="BB276" i="2" s="1"/>
  <c r="BG276" i="2" l="1"/>
  <c r="BE276" i="2"/>
  <c r="BD276" i="2"/>
  <c r="BF276" i="2"/>
  <c r="BI276" i="2" l="1"/>
  <c r="BH276" i="2"/>
  <c r="BK276" i="2" s="1"/>
  <c r="BJ276" i="2"/>
  <c r="AP277" i="2" l="1"/>
  <c r="BL276" i="2"/>
  <c r="BM276" i="2"/>
  <c r="BN276" i="2"/>
  <c r="BO276" i="2" l="1"/>
  <c r="AT277" i="2"/>
  <c r="AR277" i="2"/>
  <c r="AQ277" i="2"/>
  <c r="AV277" i="2" l="1"/>
  <c r="AU277" i="2"/>
  <c r="E277" i="2"/>
  <c r="BP276" i="2"/>
  <c r="C277" i="2" s="1"/>
  <c r="AA277" i="2" l="1"/>
  <c r="AE277" i="2"/>
  <c r="AB277" i="2"/>
  <c r="AJ277" i="2"/>
  <c r="AI277" i="2"/>
  <c r="AC277" i="2" l="1"/>
  <c r="AD277" i="2" s="1"/>
  <c r="AF277" i="2" s="1"/>
  <c r="AG277" i="2" l="1"/>
  <c r="Z277" i="2" s="1"/>
  <c r="AH277" i="2" s="1"/>
  <c r="D278" i="2" s="1"/>
  <c r="AK277" i="2"/>
  <c r="AL277" i="2" s="1"/>
  <c r="AM277" i="2" s="1"/>
  <c r="AN277" i="2" s="1"/>
  <c r="AO277" i="2" s="1"/>
  <c r="AS277" i="2" l="1"/>
  <c r="AW277" i="2"/>
  <c r="AX277" i="2" l="1"/>
  <c r="BC277" i="2" l="1"/>
  <c r="AY277" i="2"/>
  <c r="AZ277" i="2" s="1"/>
  <c r="BA277" i="2" s="1"/>
  <c r="BB277" i="2" s="1"/>
  <c r="BG277" i="2" l="1"/>
  <c r="BE277" i="2"/>
  <c r="BD277" i="2"/>
  <c r="BF277" i="2"/>
  <c r="BI277" i="2" l="1"/>
  <c r="BH277" i="2"/>
  <c r="BK277" i="2" s="1"/>
  <c r="BJ277" i="2"/>
  <c r="AP278" i="2" l="1"/>
  <c r="BM277" i="2"/>
  <c r="BL277" i="2"/>
  <c r="BN277" i="2"/>
  <c r="BO277" i="2" l="1"/>
  <c r="AT278" i="2"/>
  <c r="AR278" i="2"/>
  <c r="AQ278" i="2"/>
  <c r="AU278" i="2" l="1"/>
  <c r="AV278" i="2"/>
  <c r="E278" i="2"/>
  <c r="BP277" i="2"/>
  <c r="C278" i="2" s="1"/>
  <c r="AA278" i="2" l="1"/>
  <c r="AB278" i="2"/>
  <c r="AE278" i="2"/>
  <c r="AI278" i="2"/>
  <c r="AJ278" i="2"/>
  <c r="AC278" i="2" l="1"/>
  <c r="AD278" i="2" s="1"/>
  <c r="AF278" i="2" s="1"/>
  <c r="AG278" i="2" l="1"/>
  <c r="Z278" i="2" s="1"/>
  <c r="AH278" i="2" s="1"/>
  <c r="D279" i="2" s="1"/>
  <c r="AK278" i="2"/>
  <c r="AL278" i="2" s="1"/>
  <c r="AM278" i="2"/>
  <c r="AN278" i="2" s="1"/>
  <c r="AO278" i="2" s="1"/>
  <c r="AS278" i="2" l="1"/>
  <c r="AX278" i="2" s="1"/>
  <c r="BC278" i="2" s="1"/>
  <c r="AW278" i="2"/>
  <c r="AY278" i="2" l="1"/>
  <c r="AZ278" i="2" s="1"/>
  <c r="BA278" i="2" s="1"/>
  <c r="BB278" i="2" s="1"/>
  <c r="BG278" i="2"/>
  <c r="BD278" i="2"/>
  <c r="BE278" i="2"/>
  <c r="BH278" i="2" l="1"/>
  <c r="BI278" i="2"/>
  <c r="BJ278" i="2"/>
  <c r="BF278" i="2"/>
  <c r="BK278" i="2" s="1"/>
  <c r="AP279" i="2" l="1"/>
  <c r="BM278" i="2"/>
  <c r="BL278" i="2"/>
  <c r="BN278" i="2"/>
  <c r="BO278" i="2" s="1"/>
  <c r="BP278" i="2" l="1"/>
  <c r="C279" i="2" s="1"/>
  <c r="E279" i="2"/>
  <c r="AT279" i="2"/>
  <c r="AQ279" i="2"/>
  <c r="AR279" i="2"/>
  <c r="AV279" i="2" l="1"/>
  <c r="AU279" i="2"/>
  <c r="AA279" i="2"/>
  <c r="AE279" i="2"/>
  <c r="AB279" i="2"/>
  <c r="AI279" i="2"/>
  <c r="AJ279" i="2"/>
  <c r="AC279" i="2" l="1"/>
  <c r="AD279" i="2" s="1"/>
  <c r="AF279" i="2" s="1"/>
  <c r="AG279" i="2" l="1"/>
  <c r="Z279" i="2" s="1"/>
  <c r="AH279" i="2" s="1"/>
  <c r="D280" i="2" s="1"/>
  <c r="AK279" i="2"/>
  <c r="AL279" i="2" s="1"/>
  <c r="AM279" i="2" s="1"/>
  <c r="AN279" i="2" s="1"/>
  <c r="AO279" i="2" s="1"/>
  <c r="AS279" i="2" l="1"/>
  <c r="AW279" i="2"/>
  <c r="AX279" i="2" l="1"/>
  <c r="BC279" i="2" l="1"/>
  <c r="AY279" i="2"/>
  <c r="AZ279" i="2" s="1"/>
  <c r="BA279" i="2" s="1"/>
  <c r="BB279" i="2" s="1"/>
  <c r="BG279" i="2" l="1"/>
  <c r="BD279" i="2"/>
  <c r="BE279" i="2"/>
  <c r="BF279" i="2"/>
  <c r="BH279" i="2" l="1"/>
  <c r="BK279" i="2" s="1"/>
  <c r="BI279" i="2"/>
  <c r="BJ279" i="2"/>
  <c r="AP280" i="2" l="1"/>
  <c r="BM279" i="2"/>
  <c r="BL279" i="2"/>
  <c r="BN279" i="2"/>
  <c r="BO279" i="2" s="1"/>
  <c r="E280" i="2" l="1"/>
  <c r="BP279" i="2"/>
  <c r="C280" i="2" s="1"/>
  <c r="AT280" i="2"/>
  <c r="AR280" i="2"/>
  <c r="AQ280" i="2"/>
  <c r="AU280" i="2" l="1"/>
  <c r="AV280" i="2"/>
  <c r="AE280" i="2"/>
  <c r="AB280" i="2"/>
  <c r="AI280" i="2"/>
  <c r="AJ280" i="2"/>
  <c r="AA280" i="2"/>
  <c r="AC280" i="2" l="1"/>
  <c r="AD280" i="2" s="1"/>
  <c r="AF280" i="2" s="1"/>
  <c r="AG280" i="2" l="1"/>
  <c r="Z280" i="2" s="1"/>
  <c r="AH280" i="2" s="1"/>
  <c r="D281" i="2" s="1"/>
  <c r="AK280" i="2"/>
  <c r="AL280" i="2" s="1"/>
  <c r="AM280" i="2" s="1"/>
  <c r="AN280" i="2" s="1"/>
  <c r="AO280" i="2" s="1"/>
  <c r="AS280" i="2" l="1"/>
  <c r="AX280" i="2" s="1"/>
  <c r="BC280" i="2" s="1"/>
  <c r="AW280" i="2"/>
  <c r="BG280" i="2" l="1"/>
  <c r="BD280" i="2"/>
  <c r="BE280" i="2"/>
  <c r="AY280" i="2"/>
  <c r="AZ280" i="2" s="1"/>
  <c r="BA280" i="2" s="1"/>
  <c r="BB280" i="2" s="1"/>
  <c r="BF280" i="2" s="1"/>
  <c r="BI280" i="2" l="1"/>
  <c r="BH280" i="2"/>
  <c r="BK280" i="2" s="1"/>
  <c r="BJ280" i="2"/>
  <c r="AP281" i="2" l="1"/>
  <c r="BL280" i="2"/>
  <c r="BM280" i="2"/>
  <c r="BN280" i="2"/>
  <c r="BO280" i="2" l="1"/>
  <c r="AT281" i="2"/>
  <c r="AR281" i="2"/>
  <c r="AQ281" i="2"/>
  <c r="AU281" i="2" l="1"/>
  <c r="AV281" i="2"/>
  <c r="E281" i="2"/>
  <c r="BP280" i="2"/>
  <c r="C281" i="2" s="1"/>
  <c r="AA281" i="2" l="1"/>
  <c r="AE281" i="2"/>
  <c r="AB281" i="2"/>
  <c r="AJ281" i="2"/>
  <c r="AI281" i="2"/>
  <c r="AC281" i="2" l="1"/>
  <c r="AD281" i="2" s="1"/>
  <c r="AF281" i="2" s="1"/>
  <c r="AG281" i="2" l="1"/>
  <c r="Z281" i="2" s="1"/>
  <c r="AH281" i="2" s="1"/>
  <c r="D282" i="2" s="1"/>
  <c r="AK281" i="2"/>
  <c r="AL281" i="2" s="1"/>
  <c r="AM281" i="2" s="1"/>
  <c r="AN281" i="2" s="1"/>
  <c r="AO281" i="2" s="1"/>
  <c r="AW281" i="2" l="1"/>
  <c r="AS281" i="2"/>
  <c r="AX281" i="2" s="1"/>
  <c r="BC281" i="2" s="1"/>
  <c r="AY281" i="2" l="1"/>
  <c r="AZ281" i="2" s="1"/>
  <c r="BA281" i="2" s="1"/>
  <c r="BB281" i="2" s="1"/>
  <c r="BF281" i="2" s="1"/>
  <c r="BG281" i="2"/>
  <c r="BE281" i="2"/>
  <c r="BD281" i="2"/>
  <c r="BI281" i="2" l="1"/>
  <c r="BH281" i="2"/>
  <c r="BK281" i="2" s="1"/>
  <c r="BJ281" i="2"/>
  <c r="AP282" i="2" l="1"/>
  <c r="BL281" i="2"/>
  <c r="BM281" i="2"/>
  <c r="BN281" i="2"/>
  <c r="BO281" i="2" l="1"/>
  <c r="AT282" i="2"/>
  <c r="AR282" i="2"/>
  <c r="AQ282" i="2"/>
  <c r="AU282" i="2" l="1"/>
  <c r="AV282" i="2"/>
  <c r="E282" i="2"/>
  <c r="BP281" i="2"/>
  <c r="C282" i="2" s="1"/>
  <c r="AA282" i="2" l="1"/>
  <c r="AE282" i="2"/>
  <c r="AB282" i="2"/>
  <c r="AI282" i="2"/>
  <c r="AJ282" i="2"/>
  <c r="AC282" i="2" l="1"/>
  <c r="AD282" i="2" s="1"/>
  <c r="AF282" i="2" s="1"/>
  <c r="AG282" i="2" l="1"/>
  <c r="Z282" i="2" s="1"/>
  <c r="AH282" i="2" s="1"/>
  <c r="D283" i="2" s="1"/>
  <c r="AK282" i="2"/>
  <c r="AL282" i="2" s="1"/>
  <c r="AM282" i="2" s="1"/>
  <c r="AN282" i="2" s="1"/>
  <c r="AO282" i="2" s="1"/>
  <c r="AS282" i="2" l="1"/>
  <c r="AW282" i="2"/>
  <c r="AX282" i="2" l="1"/>
  <c r="BC282" i="2" l="1"/>
  <c r="AY282" i="2"/>
  <c r="AZ282" i="2" s="1"/>
  <c r="BA282" i="2" s="1"/>
  <c r="BB282" i="2" s="1"/>
  <c r="BG282" i="2" l="1"/>
  <c r="BE282" i="2"/>
  <c r="BD282" i="2"/>
  <c r="BF282" i="2"/>
  <c r="BH282" i="2" l="1"/>
  <c r="BK282" i="2" s="1"/>
  <c r="BI282" i="2"/>
  <c r="BJ282" i="2"/>
  <c r="AP283" i="2" l="1"/>
  <c r="BL282" i="2"/>
  <c r="BM282" i="2"/>
  <c r="BN282" i="2"/>
  <c r="BO282" i="2" l="1"/>
  <c r="AT283" i="2"/>
  <c r="AR283" i="2"/>
  <c r="AQ283" i="2"/>
  <c r="AU283" i="2" l="1"/>
  <c r="AV283" i="2"/>
  <c r="E283" i="2"/>
  <c r="BP282" i="2"/>
  <c r="C283" i="2" s="1"/>
  <c r="AA283" i="2" l="1"/>
  <c r="AB283" i="2"/>
  <c r="AE283" i="2"/>
  <c r="AI283" i="2"/>
  <c r="AJ283" i="2"/>
  <c r="AC283" i="2" l="1"/>
  <c r="AD283" i="2" s="1"/>
  <c r="AF283" i="2" s="1"/>
  <c r="AK283" i="2" l="1"/>
  <c r="AL283" i="2" s="1"/>
  <c r="AM283" i="2" s="1"/>
  <c r="AN283" i="2" s="1"/>
  <c r="AO283" i="2" s="1"/>
  <c r="AG283" i="2"/>
  <c r="Z283" i="2" s="1"/>
  <c r="AH283" i="2" s="1"/>
  <c r="D284" i="2" s="1"/>
  <c r="AS283" i="2" l="1"/>
  <c r="AW283" i="2"/>
  <c r="AX283" i="2" l="1"/>
  <c r="BC283" i="2" l="1"/>
  <c r="AY283" i="2"/>
  <c r="AZ283" i="2" s="1"/>
  <c r="BA283" i="2" s="1"/>
  <c r="BB283" i="2" s="1"/>
  <c r="BG283" i="2" l="1"/>
  <c r="BD283" i="2"/>
  <c r="BE283" i="2"/>
  <c r="BF283" i="2"/>
  <c r="BH283" i="2" l="1"/>
  <c r="BK283" i="2" s="1"/>
  <c r="BI283" i="2"/>
  <c r="BJ283" i="2"/>
  <c r="AP284" i="2" l="1"/>
  <c r="BM283" i="2"/>
  <c r="BL283" i="2"/>
  <c r="BN283" i="2"/>
  <c r="BO283" i="2" s="1"/>
  <c r="BP283" i="2" l="1"/>
  <c r="C284" i="2" s="1"/>
  <c r="E284" i="2"/>
  <c r="AT284" i="2"/>
  <c r="AR284" i="2"/>
  <c r="AQ284" i="2"/>
  <c r="AV284" i="2" l="1"/>
  <c r="AU284" i="2"/>
  <c r="AA284" i="2"/>
  <c r="AE284" i="2"/>
  <c r="AB284" i="2"/>
  <c r="AI284" i="2"/>
  <c r="AJ284" i="2"/>
  <c r="AC284" i="2" l="1"/>
  <c r="AD284" i="2" s="1"/>
  <c r="AF284" i="2" s="1"/>
  <c r="AG284" i="2" l="1"/>
  <c r="Z284" i="2" s="1"/>
  <c r="AH284" i="2" s="1"/>
  <c r="D285" i="2" s="1"/>
  <c r="AK284" i="2"/>
  <c r="AL284" i="2" s="1"/>
  <c r="AM284" i="2" s="1"/>
  <c r="AN284" i="2" s="1"/>
  <c r="AO284" i="2" s="1"/>
  <c r="AS284" i="2" l="1"/>
  <c r="AX284" i="2" s="1"/>
  <c r="BC284" i="2" s="1"/>
  <c r="AW284" i="2"/>
  <c r="BG284" i="2" l="1"/>
  <c r="BE284" i="2"/>
  <c r="BD284" i="2"/>
  <c r="AY284" i="2"/>
  <c r="AZ284" i="2" s="1"/>
  <c r="BA284" i="2" s="1"/>
  <c r="BB284" i="2" s="1"/>
  <c r="BI284" i="2" l="1"/>
  <c r="BH284" i="2"/>
  <c r="BJ284" i="2"/>
  <c r="BF284" i="2"/>
  <c r="BK284" i="2" s="1"/>
  <c r="AP285" i="2" l="1"/>
  <c r="BL284" i="2"/>
  <c r="BM284" i="2"/>
  <c r="BN284" i="2"/>
  <c r="AT285" i="2" l="1"/>
  <c r="AR285" i="2"/>
  <c r="AQ285" i="2"/>
  <c r="BO284" i="2"/>
  <c r="E285" i="2" l="1"/>
  <c r="BP284" i="2"/>
  <c r="C285" i="2" s="1"/>
  <c r="AU285" i="2"/>
  <c r="AV285" i="2"/>
  <c r="AB285" i="2" l="1"/>
  <c r="AE285" i="2"/>
  <c r="AI285" i="2"/>
  <c r="AJ285" i="2"/>
  <c r="AA285" i="2"/>
  <c r="AC285" i="2" l="1"/>
  <c r="AD285" i="2" s="1"/>
  <c r="AF285" i="2" s="1"/>
  <c r="AG285" i="2" l="1"/>
  <c r="Z285" i="2" s="1"/>
  <c r="AH285" i="2" s="1"/>
  <c r="D286" i="2" s="1"/>
  <c r="AK285" i="2"/>
  <c r="AL285" i="2" s="1"/>
  <c r="AM285" i="2" s="1"/>
  <c r="AN285" i="2" s="1"/>
  <c r="AO285" i="2" s="1"/>
  <c r="AW285" i="2" l="1"/>
  <c r="AS285" i="2"/>
  <c r="AX285" i="2" s="1"/>
  <c r="BC285" i="2" s="1"/>
  <c r="BG285" i="2" l="1"/>
  <c r="BE285" i="2"/>
  <c r="BD285" i="2"/>
  <c r="AY285" i="2"/>
  <c r="AZ285" i="2" s="1"/>
  <c r="BA285" i="2" s="1"/>
  <c r="BB285" i="2" s="1"/>
  <c r="BF285" i="2" s="1"/>
  <c r="BI285" i="2" l="1"/>
  <c r="BH285" i="2"/>
  <c r="BK285" i="2" s="1"/>
  <c r="BJ285" i="2"/>
  <c r="AP286" i="2" l="1"/>
  <c r="BL285" i="2"/>
  <c r="BM285" i="2"/>
  <c r="BN285" i="2"/>
  <c r="AT286" i="2" l="1"/>
  <c r="AR286" i="2"/>
  <c r="AQ286" i="2"/>
  <c r="BO285" i="2"/>
  <c r="AV286" i="2" l="1"/>
  <c r="AU286" i="2"/>
  <c r="BP285" i="2"/>
  <c r="C286" i="2" s="1"/>
  <c r="E286" i="2"/>
  <c r="AE286" i="2" l="1"/>
  <c r="AB286" i="2"/>
  <c r="AJ286" i="2"/>
  <c r="AI286" i="2"/>
  <c r="AA286" i="2"/>
  <c r="AC286" i="2" l="1"/>
  <c r="AD286" i="2" s="1"/>
  <c r="AF286" i="2" s="1"/>
  <c r="AG286" i="2" l="1"/>
  <c r="Z286" i="2" s="1"/>
  <c r="AH286" i="2" s="1"/>
  <c r="D287" i="2" s="1"/>
  <c r="AK286" i="2"/>
  <c r="AL286" i="2" s="1"/>
  <c r="AM286" i="2" s="1"/>
  <c r="AN286" i="2" s="1"/>
  <c r="AO286" i="2" s="1"/>
  <c r="AS286" i="2" l="1"/>
  <c r="AW286" i="2"/>
  <c r="AX286" i="2" l="1"/>
  <c r="BC286" i="2" l="1"/>
  <c r="AY286" i="2"/>
  <c r="AZ286" i="2" s="1"/>
  <c r="BA286" i="2" s="1"/>
  <c r="BB286" i="2" s="1"/>
  <c r="BG286" i="2" l="1"/>
  <c r="BD286" i="2"/>
  <c r="BE286" i="2"/>
  <c r="BF286" i="2"/>
  <c r="BH286" i="2" l="1"/>
  <c r="BI286" i="2"/>
  <c r="BK286" i="2" s="1"/>
  <c r="BJ286" i="2"/>
  <c r="AP287" i="2" l="1"/>
  <c r="BL286" i="2"/>
  <c r="BM286" i="2"/>
  <c r="BN286" i="2"/>
  <c r="BO286" i="2" l="1"/>
  <c r="AT287" i="2"/>
  <c r="AQ287" i="2"/>
  <c r="AR287" i="2"/>
  <c r="AU287" i="2" l="1"/>
  <c r="AV287" i="2"/>
  <c r="E287" i="2"/>
  <c r="BP286" i="2"/>
  <c r="C287" i="2" s="1"/>
  <c r="AA287" i="2" l="1"/>
  <c r="AB287" i="2"/>
  <c r="AE287" i="2"/>
  <c r="AI287" i="2"/>
  <c r="AJ287" i="2"/>
  <c r="AC287" i="2" l="1"/>
  <c r="AD287" i="2" s="1"/>
  <c r="AF287" i="2" s="1"/>
  <c r="AG287" i="2" l="1"/>
  <c r="Z287" i="2" s="1"/>
  <c r="AH287" i="2" s="1"/>
  <c r="D288" i="2" s="1"/>
  <c r="AK287" i="2"/>
  <c r="AL287" i="2" s="1"/>
  <c r="AM287" i="2" s="1"/>
  <c r="AN287" i="2" s="1"/>
  <c r="AO287" i="2" s="1"/>
  <c r="AW287" i="2" l="1"/>
  <c r="AS287" i="2"/>
  <c r="AX287" i="2" l="1"/>
  <c r="BC287" i="2" l="1"/>
  <c r="AY287" i="2"/>
  <c r="AZ287" i="2" s="1"/>
  <c r="BA287" i="2" s="1"/>
  <c r="BB287" i="2" s="1"/>
  <c r="BG287" i="2" l="1"/>
  <c r="BD287" i="2"/>
  <c r="BE287" i="2"/>
  <c r="BF287" i="2"/>
  <c r="BI287" i="2" l="1"/>
  <c r="BH287" i="2"/>
  <c r="BK287" i="2" s="1"/>
  <c r="BJ287" i="2"/>
  <c r="AP288" i="2" l="1"/>
  <c r="BM287" i="2"/>
  <c r="BL287" i="2"/>
  <c r="BN287" i="2"/>
  <c r="BO287" i="2" s="1"/>
  <c r="BP287" i="2" l="1"/>
  <c r="C288" i="2" s="1"/>
  <c r="E288" i="2"/>
  <c r="AT288" i="2"/>
  <c r="AR288" i="2"/>
  <c r="AQ288" i="2"/>
  <c r="AV288" i="2" l="1"/>
  <c r="AU288" i="2"/>
  <c r="AA288" i="2"/>
  <c r="AE288" i="2"/>
  <c r="AB288" i="2"/>
  <c r="AJ288" i="2"/>
  <c r="AI288" i="2"/>
  <c r="AC288" i="2" l="1"/>
  <c r="AD288" i="2" s="1"/>
  <c r="AF288" i="2" s="1"/>
  <c r="AG288" i="2" l="1"/>
  <c r="Z288" i="2" s="1"/>
  <c r="AH288" i="2" s="1"/>
  <c r="D289" i="2" s="1"/>
  <c r="AK288" i="2"/>
  <c r="AL288" i="2" s="1"/>
  <c r="AM288" i="2" s="1"/>
  <c r="AN288" i="2" s="1"/>
  <c r="AO288" i="2" s="1"/>
  <c r="AS288" i="2" l="1"/>
  <c r="AW288" i="2"/>
  <c r="C297" i="2"/>
  <c r="C453" i="2"/>
  <c r="F472" i="2" l="1"/>
  <c r="AX288" i="2"/>
  <c r="F316" i="2"/>
  <c r="BC288" i="2" l="1"/>
  <c r="AY288" i="2"/>
  <c r="AZ288" i="2" s="1"/>
  <c r="BA288" i="2" s="1"/>
  <c r="BB288" i="2" s="1"/>
  <c r="BG288" i="2" l="1"/>
  <c r="BE288" i="2"/>
  <c r="BD288" i="2"/>
  <c r="BF288" i="2"/>
  <c r="BH288" i="2" l="1"/>
  <c r="BK288" i="2" s="1"/>
  <c r="BI288" i="2"/>
  <c r="BJ288" i="2"/>
  <c r="AP289" i="2" l="1"/>
  <c r="E297" i="2"/>
  <c r="BL288" i="2"/>
  <c r="BM288" i="2"/>
  <c r="BN288" i="2"/>
  <c r="BO288" i="2" l="1"/>
  <c r="AT289" i="2"/>
  <c r="AR289" i="2"/>
  <c r="AQ289" i="2"/>
  <c r="AU289" i="2" l="1"/>
  <c r="AV289" i="2"/>
  <c r="E289" i="2"/>
  <c r="BP288" i="2"/>
  <c r="C289" i="2" s="1"/>
  <c r="AB289" i="2" l="1"/>
  <c r="B297" i="2"/>
  <c r="AE289" i="2"/>
  <c r="B298" i="2"/>
  <c r="M298" i="2" s="1"/>
  <c r="N298" i="2" s="1"/>
  <c r="AI289" i="2"/>
  <c r="AJ289" i="2"/>
  <c r="AZ289" i="2"/>
  <c r="BA289" i="2" s="1"/>
  <c r="BB289" i="2" s="1"/>
  <c r="AA289" i="2"/>
  <c r="D297" i="2"/>
  <c r="S298" i="2" l="1"/>
  <c r="O298" i="2"/>
  <c r="H298" i="2" s="1"/>
  <c r="AL296" i="2"/>
  <c r="E316" i="2"/>
  <c r="M297" i="2"/>
  <c r="N297" i="2" s="1"/>
  <c r="X297" i="2"/>
  <c r="Q297" i="2"/>
  <c r="R297" i="2"/>
  <c r="AC289" i="2"/>
  <c r="AD289" i="2" s="1"/>
  <c r="AF289" i="2" s="1"/>
  <c r="G316" i="2"/>
  <c r="J297" i="2"/>
  <c r="K297" i="2" s="1"/>
  <c r="L297" i="2" s="1"/>
  <c r="AM289" i="2" l="1"/>
  <c r="AN289" i="2" s="1"/>
  <c r="AO289" i="2" s="1"/>
  <c r="AG289" i="2"/>
  <c r="Z289" i="2" s="1"/>
  <c r="AH289" i="2" s="1"/>
  <c r="AK289" i="2"/>
  <c r="S452" i="2"/>
  <c r="AC297" i="2"/>
  <c r="Y297" i="2"/>
  <c r="AA297" i="2" s="1"/>
  <c r="Z297" i="2"/>
  <c r="DX316" i="2"/>
  <c r="AU316" i="2"/>
  <c r="CM316" i="2"/>
  <c r="O297" i="2"/>
  <c r="H297" i="2" s="1"/>
  <c r="P297" i="2" s="1"/>
  <c r="C298" i="2" s="1"/>
  <c r="S297" i="2"/>
  <c r="T297" i="2" s="1"/>
  <c r="U297" i="2"/>
  <c r="V297" i="2" s="1"/>
  <c r="W297" i="2" s="1"/>
  <c r="CO315" i="2"/>
  <c r="AY316" i="2"/>
  <c r="BZ317" i="2"/>
  <c r="DZ315" i="2"/>
  <c r="AV316" i="2"/>
  <c r="BC316" i="2"/>
  <c r="BD316" i="2"/>
  <c r="BH316" i="2" s="1"/>
  <c r="BI316" i="2" s="1"/>
  <c r="T298" i="2"/>
  <c r="CN316" i="2" l="1"/>
  <c r="E317" i="2" s="1"/>
  <c r="R298" i="2"/>
  <c r="Q298" i="2"/>
  <c r="U298" i="2" s="1"/>
  <c r="V298" i="2" s="1"/>
  <c r="W298" i="2" s="1"/>
  <c r="AW316" i="2"/>
  <c r="AX316" i="2" s="1"/>
  <c r="AZ316" i="2" s="1"/>
  <c r="CD317" i="2"/>
  <c r="CB317" i="2"/>
  <c r="CA317" i="2"/>
  <c r="CO316" i="2"/>
  <c r="DY316" i="2"/>
  <c r="DZ316" i="2" s="1"/>
  <c r="G317" i="2"/>
  <c r="AD297" i="2"/>
  <c r="AF297" i="2" s="1"/>
  <c r="AE297" i="2"/>
  <c r="AB297" i="2"/>
  <c r="AH297" i="2" s="1"/>
  <c r="AG297" i="2"/>
  <c r="AS289" i="2"/>
  <c r="AW289" i="2"/>
  <c r="BN289" i="2"/>
  <c r="BO289" i="2" s="1"/>
  <c r="BP289" i="2" s="1"/>
  <c r="BJ289" i="2"/>
  <c r="BF289" i="2"/>
  <c r="BA316" i="2" l="1"/>
  <c r="AT316" i="2" s="1"/>
  <c r="BB316" i="2" s="1"/>
  <c r="F317" i="2" s="1"/>
  <c r="BE317" i="2"/>
  <c r="AM297" i="2"/>
  <c r="X453" i="2"/>
  <c r="AI297" i="2"/>
  <c r="AJ297" i="2" s="1"/>
  <c r="AK297" i="2" s="1"/>
  <c r="AL297" i="2" s="1"/>
  <c r="CE317" i="2"/>
  <c r="CF317" i="2"/>
  <c r="AV317" i="2"/>
  <c r="AY317" i="2"/>
  <c r="AU317" i="2"/>
  <c r="AC453" i="2" l="1"/>
  <c r="Y453" i="2"/>
  <c r="AA453" i="2" s="1"/>
  <c r="Z453" i="2"/>
  <c r="AR297" i="2"/>
  <c r="AN297" i="2"/>
  <c r="AO297" i="2"/>
  <c r="AQ297" i="2"/>
  <c r="AW317" i="2"/>
  <c r="AX317" i="2" s="1"/>
  <c r="AZ317" i="2" s="1"/>
  <c r="BD317" i="2"/>
  <c r="BC317" i="2"/>
  <c r="BE318" i="2" l="1"/>
  <c r="BA317" i="2"/>
  <c r="AT317" i="2" s="1"/>
  <c r="BB317" i="2" s="1"/>
  <c r="F318" i="2" s="1"/>
  <c r="AP297" i="2"/>
  <c r="AS297" i="2"/>
  <c r="AU297" i="2" s="1"/>
  <c r="AT297" i="2"/>
  <c r="AV297" i="2"/>
  <c r="AD453" i="2"/>
  <c r="AE453" i="2"/>
  <c r="AF453" i="2" l="1"/>
  <c r="AW297" i="2"/>
  <c r="BF317" i="2"/>
  <c r="BG317" i="2" s="1"/>
  <c r="BH317" i="2" s="1"/>
  <c r="BI317" i="2" s="1"/>
  <c r="CC317" i="2" l="1"/>
  <c r="CH317" i="2" s="1"/>
  <c r="CK317" i="2" s="1"/>
  <c r="CG317" i="2"/>
  <c r="E298" i="2"/>
  <c r="X298" i="2"/>
  <c r="E453" i="2"/>
  <c r="AX297" i="2"/>
  <c r="AZ297" i="2" s="1"/>
  <c r="AY297" i="2"/>
  <c r="BA297" i="2"/>
  <c r="BB297" i="2" l="1"/>
  <c r="AC298" i="2"/>
  <c r="Y298" i="2"/>
  <c r="AA298" i="2" s="1"/>
  <c r="Z298" i="2"/>
  <c r="AB298" i="2"/>
  <c r="BZ318" i="2"/>
  <c r="DK317" i="2"/>
  <c r="CJ317" i="2"/>
  <c r="CI317" i="2"/>
  <c r="BC297" i="2" l="1"/>
  <c r="D298" i="2"/>
  <c r="DO317" i="2"/>
  <c r="DL317" i="2"/>
  <c r="DM317" i="2"/>
  <c r="DN317" i="2"/>
  <c r="CD318" i="2"/>
  <c r="CL317" i="2"/>
  <c r="CM317" i="2" s="1"/>
  <c r="AD298" i="2"/>
  <c r="AF298" i="2" s="1"/>
  <c r="AH298" i="2" s="1"/>
  <c r="AE298" i="2"/>
  <c r="AG298" i="2"/>
  <c r="AM298" i="2" l="1"/>
  <c r="AI298" i="2"/>
  <c r="DP317" i="2"/>
  <c r="DS317" i="2" s="1"/>
  <c r="DQ317" i="2"/>
  <c r="DR317" i="2"/>
  <c r="J298" i="2"/>
  <c r="AJ298" i="2"/>
  <c r="AK298" i="2" s="1"/>
  <c r="AL298" i="2" s="1"/>
  <c r="CN317" i="2"/>
  <c r="DU317" i="2" l="1"/>
  <c r="DT317" i="2"/>
  <c r="DV317" i="2"/>
  <c r="K298" i="2"/>
  <c r="L298" i="2" s="1"/>
  <c r="P298" i="2"/>
  <c r="C299" i="2" s="1"/>
  <c r="E318" i="2"/>
  <c r="CO317" i="2"/>
  <c r="AR298" i="2"/>
  <c r="AN298" i="2"/>
  <c r="AP298" i="2" s="1"/>
  <c r="AO298" i="2"/>
  <c r="AQ298" i="2"/>
  <c r="AS298" i="2" l="1"/>
  <c r="AU298" i="2" s="1"/>
  <c r="AW298" i="2" s="1"/>
  <c r="AT298" i="2"/>
  <c r="AV298" i="2"/>
  <c r="AY318" i="2"/>
  <c r="AV318" i="2"/>
  <c r="BC318" i="2"/>
  <c r="BD318" i="2"/>
  <c r="DW317" i="2"/>
  <c r="DX317" i="2" s="1"/>
  <c r="X299" i="2" l="1"/>
  <c r="E299" i="2"/>
  <c r="AX298" i="2"/>
  <c r="AZ298" i="2" s="1"/>
  <c r="AY298" i="2"/>
  <c r="BA298" i="2"/>
  <c r="DY317" i="2"/>
  <c r="DZ317" i="2" s="1"/>
  <c r="G318" i="2"/>
  <c r="AU318" i="2" s="1"/>
  <c r="AW318" i="2" l="1"/>
  <c r="AX318" i="2" s="1"/>
  <c r="AZ318" i="2" s="1"/>
  <c r="BB298" i="2"/>
  <c r="AC299" i="2"/>
  <c r="Y299" i="2"/>
  <c r="Z299" i="2"/>
  <c r="BA318" i="2" l="1"/>
  <c r="AT318" i="2" s="1"/>
  <c r="BB318" i="2" s="1"/>
  <c r="F319" i="2" s="1"/>
  <c r="BE319" i="2"/>
  <c r="AD299" i="2"/>
  <c r="AE299" i="2"/>
  <c r="D299" i="2"/>
  <c r="BC298" i="2"/>
  <c r="B299" i="2" s="1"/>
  <c r="AA299" i="2"/>
  <c r="AF299" i="2" l="1"/>
  <c r="M299" i="2"/>
  <c r="N299" i="2" s="1"/>
  <c r="R299" i="2"/>
  <c r="Q299" i="2"/>
  <c r="J299" i="2"/>
  <c r="K299" i="2" s="1"/>
  <c r="L299" i="2" s="1"/>
  <c r="BF318" i="2"/>
  <c r="BG318" i="2" s="1"/>
  <c r="BH318" i="2" s="1"/>
  <c r="BI318" i="2" s="1"/>
  <c r="U299" i="2" l="1"/>
  <c r="V299" i="2" s="1"/>
  <c r="W299" i="2" s="1"/>
  <c r="O299" i="2"/>
  <c r="H299" i="2" s="1"/>
  <c r="P299" i="2" s="1"/>
  <c r="C300" i="2" s="1"/>
  <c r="S299" i="2"/>
  <c r="T299" i="2" s="1"/>
  <c r="CC318" i="2"/>
  <c r="CG318" i="2"/>
  <c r="AB299" i="2" l="1"/>
  <c r="AH299" i="2" s="1"/>
  <c r="AM299" i="2" s="1"/>
  <c r="AG299" i="2"/>
  <c r="AR299" i="2" l="1"/>
  <c r="AN299" i="2"/>
  <c r="AP299" i="2" s="1"/>
  <c r="AO299" i="2"/>
  <c r="AI299" i="2"/>
  <c r="AJ299" i="2" s="1"/>
  <c r="AK299" i="2" s="1"/>
  <c r="AL299" i="2" s="1"/>
  <c r="AQ299" i="2"/>
  <c r="AS299" i="2" l="1"/>
  <c r="AU299" i="2" s="1"/>
  <c r="AW299" i="2" s="1"/>
  <c r="AT299" i="2"/>
  <c r="AV299" i="2"/>
  <c r="X300" i="2" l="1"/>
  <c r="E300" i="2"/>
  <c r="AX299" i="2"/>
  <c r="AZ299" i="2" s="1"/>
  <c r="AY299" i="2"/>
  <c r="BA299" i="2"/>
  <c r="BB299" i="2" l="1"/>
  <c r="AC300" i="2"/>
  <c r="Y300" i="2"/>
  <c r="AA300" i="2" s="1"/>
  <c r="Z300" i="2"/>
  <c r="AD300" i="2" l="1"/>
  <c r="AF300" i="2" s="1"/>
  <c r="AE300" i="2"/>
  <c r="D300" i="2"/>
  <c r="BC299" i="2"/>
  <c r="B300" i="2" s="1"/>
  <c r="M300" i="2" l="1"/>
  <c r="N300" i="2" s="1"/>
  <c r="Q300" i="2"/>
  <c r="R300" i="2"/>
  <c r="J300" i="2"/>
  <c r="K300" i="2" s="1"/>
  <c r="L300" i="2" s="1"/>
  <c r="O300" i="2" l="1"/>
  <c r="H300" i="2" s="1"/>
  <c r="P300" i="2" s="1"/>
  <c r="C301" i="2" s="1"/>
  <c r="S300" i="2"/>
  <c r="T300" i="2" s="1"/>
  <c r="U300" i="2"/>
  <c r="V300" i="2" s="1"/>
  <c r="W300" i="2" s="1"/>
  <c r="AB300" i="2" l="1"/>
  <c r="AG300" i="2"/>
  <c r="AH300" i="2" l="1"/>
  <c r="AM300" i="2" l="1"/>
  <c r="AI300" i="2"/>
  <c r="AJ300" i="2" s="1"/>
  <c r="AK300" i="2" s="1"/>
  <c r="AL300" i="2" s="1"/>
  <c r="AR300" i="2" l="1"/>
  <c r="AN300" i="2"/>
  <c r="AP300" i="2" s="1"/>
  <c r="AO300" i="2"/>
  <c r="AQ300" i="2"/>
  <c r="AS300" i="2" l="1"/>
  <c r="AT300" i="2"/>
  <c r="AV300" i="2"/>
  <c r="AU300" i="2" l="1"/>
  <c r="AW300" i="2" s="1"/>
  <c r="E301" i="2" l="1"/>
  <c r="X301" i="2"/>
  <c r="AX300" i="2"/>
  <c r="AZ300" i="2" s="1"/>
  <c r="AY300" i="2"/>
  <c r="BA300" i="2"/>
  <c r="AC301" i="2" l="1"/>
  <c r="Y301" i="2"/>
  <c r="AA301" i="2" s="1"/>
  <c r="Z301" i="2"/>
  <c r="BB300" i="2"/>
  <c r="AD301" i="2" l="1"/>
  <c r="AF301" i="2" s="1"/>
  <c r="AE301" i="2"/>
  <c r="BC300" i="2"/>
  <c r="B301" i="2" s="1"/>
  <c r="D301" i="2"/>
  <c r="M301" i="2" l="1"/>
  <c r="N301" i="2" s="1"/>
  <c r="R301" i="2"/>
  <c r="Q301" i="2"/>
  <c r="J301" i="2"/>
  <c r="K301" i="2" s="1"/>
  <c r="L301" i="2" s="1"/>
  <c r="O301" i="2" l="1"/>
  <c r="H301" i="2" s="1"/>
  <c r="P301" i="2" s="1"/>
  <c r="C302" i="2" s="1"/>
  <c r="S301" i="2"/>
  <c r="T301" i="2" s="1"/>
  <c r="U301" i="2"/>
  <c r="V301" i="2" s="1"/>
  <c r="W301" i="2" s="1"/>
  <c r="AB301" i="2" l="1"/>
  <c r="AH301" i="2" s="1"/>
  <c r="AG301" i="2"/>
  <c r="AM301" i="2" l="1"/>
  <c r="AH302" i="2"/>
  <c r="AI301" i="2"/>
  <c r="AJ301" i="2" s="1"/>
  <c r="AJ302" i="2" l="1"/>
  <c r="AK301" i="2"/>
  <c r="AM302" i="2"/>
  <c r="AR301" i="2"/>
  <c r="AN301" i="2"/>
  <c r="AP301" i="2" s="1"/>
  <c r="AO301" i="2"/>
  <c r="AQ301" i="2"/>
  <c r="AR302" i="2" l="1"/>
  <c r="AS301" i="2"/>
  <c r="AU301" i="2" s="1"/>
  <c r="AW301" i="2" s="1"/>
  <c r="AT301" i="2"/>
  <c r="AV301" i="2"/>
  <c r="AK302" i="2"/>
  <c r="AL301" i="2"/>
  <c r="AL302" i="2" s="1"/>
  <c r="E302" i="2" l="1"/>
  <c r="AW302" i="2"/>
  <c r="X302" i="2"/>
  <c r="AC302" i="2" s="1"/>
  <c r="AX301" i="2"/>
  <c r="AZ301" i="2" s="1"/>
  <c r="AY301" i="2"/>
  <c r="BA301" i="2"/>
  <c r="BB301" i="2" l="1"/>
  <c r="E303" i="2"/>
  <c r="X303" i="2"/>
  <c r="AC303" i="2" l="1"/>
  <c r="Y303" i="2"/>
  <c r="AA303" i="2" s="1"/>
  <c r="Z303" i="2"/>
  <c r="D302" i="2"/>
  <c r="BB302" i="2"/>
  <c r="D303" i="2" s="1"/>
  <c r="BC301" i="2"/>
  <c r="BC302" i="2" l="1"/>
  <c r="B303" i="2" s="1"/>
  <c r="M303" i="2" s="1"/>
  <c r="N303" i="2" s="1"/>
  <c r="B302" i="2"/>
  <c r="J302" i="2"/>
  <c r="AD303" i="2"/>
  <c r="AF303" i="2" s="1"/>
  <c r="AE303" i="2"/>
  <c r="K302" i="2" l="1"/>
  <c r="L302" i="2" s="1"/>
  <c r="P302" i="2" s="1"/>
  <c r="C303" i="2" s="1"/>
  <c r="M302" i="2"/>
  <c r="N302" i="2" s="1"/>
  <c r="O302" i="2" s="1"/>
  <c r="Q302" i="2"/>
  <c r="R302" i="2"/>
  <c r="V302" i="2" s="1"/>
  <c r="W302" i="2" s="1"/>
  <c r="O303" i="2"/>
  <c r="H303" i="2" s="1"/>
  <c r="S303" i="2"/>
  <c r="T303" i="2" s="1"/>
  <c r="Q303" i="2" l="1"/>
  <c r="U303" i="2" s="1"/>
  <c r="V303" i="2" s="1"/>
  <c r="W303" i="2" s="1"/>
  <c r="R303" i="2"/>
  <c r="J303" i="2"/>
  <c r="K303" i="2" s="1"/>
  <c r="L303" i="2" s="1"/>
  <c r="AG302" i="2"/>
  <c r="AB302" i="2"/>
  <c r="BA302" i="2"/>
  <c r="P303" i="2" l="1"/>
  <c r="C304" i="2" s="1"/>
  <c r="AG303" i="2"/>
  <c r="AB303" i="2"/>
  <c r="AH303" i="2" s="1"/>
  <c r="AM303" i="2" s="1"/>
  <c r="AI303" i="2" l="1"/>
  <c r="AJ303" i="2" s="1"/>
  <c r="AK303" i="2" s="1"/>
  <c r="AL303" i="2" s="1"/>
  <c r="AR303" i="2"/>
  <c r="AN303" i="2"/>
  <c r="AO303" i="2"/>
  <c r="AQ303" i="2"/>
  <c r="AP303" i="2" l="1"/>
  <c r="AS303" i="2"/>
  <c r="AU303" i="2" s="1"/>
  <c r="AT303" i="2"/>
  <c r="AV303" i="2"/>
  <c r="AW303" i="2" l="1"/>
  <c r="X304" i="2" l="1"/>
  <c r="E304" i="2"/>
  <c r="AX303" i="2"/>
  <c r="AZ303" i="2" s="1"/>
  <c r="AY303" i="2"/>
  <c r="BA303" i="2"/>
  <c r="BB303" i="2" l="1"/>
  <c r="AC304" i="2"/>
  <c r="Y304" i="2"/>
  <c r="AA304" i="2" s="1"/>
  <c r="Z304" i="2"/>
  <c r="AD304" i="2" l="1"/>
  <c r="AE304" i="2"/>
  <c r="D304" i="2"/>
  <c r="BC303" i="2"/>
  <c r="B304" i="2" s="1"/>
  <c r="AF304" i="2" l="1"/>
  <c r="J304" i="2"/>
  <c r="K304" i="2" s="1"/>
  <c r="L304" i="2" s="1"/>
  <c r="M304" i="2"/>
  <c r="N304" i="2" s="1"/>
  <c r="Q304" i="2"/>
  <c r="R304" i="2"/>
  <c r="U304" i="2" l="1"/>
  <c r="V304" i="2" s="1"/>
  <c r="W304" i="2" s="1"/>
  <c r="O304" i="2"/>
  <c r="H304" i="2" s="1"/>
  <c r="P304" i="2" s="1"/>
  <c r="C305" i="2" s="1"/>
  <c r="S304" i="2"/>
  <c r="T304" i="2" s="1"/>
  <c r="AB304" i="2" l="1"/>
  <c r="AH304" i="2" s="1"/>
  <c r="AM304" i="2" s="1"/>
  <c r="AG304" i="2"/>
  <c r="AR304" i="2" l="1"/>
  <c r="AN304" i="2"/>
  <c r="AP304" i="2" s="1"/>
  <c r="AO304" i="2"/>
  <c r="AI304" i="2"/>
  <c r="AJ304" i="2" s="1"/>
  <c r="AK304" i="2" s="1"/>
  <c r="AL304" i="2" s="1"/>
  <c r="AQ304" i="2"/>
  <c r="AS304" i="2" l="1"/>
  <c r="AU304" i="2" s="1"/>
  <c r="AW304" i="2" s="1"/>
  <c r="AT304" i="2"/>
  <c r="AV304" i="2"/>
  <c r="X305" i="2" l="1"/>
  <c r="E305" i="2"/>
  <c r="AX304" i="2"/>
  <c r="AZ304" i="2" s="1"/>
  <c r="AY304" i="2"/>
  <c r="BA304" i="2"/>
  <c r="BB304" i="2" l="1"/>
  <c r="AC305" i="2"/>
  <c r="Y305" i="2"/>
  <c r="Z305" i="2"/>
  <c r="AA305" i="2" l="1"/>
  <c r="AD305" i="2"/>
  <c r="AF305" i="2" s="1"/>
  <c r="AE305" i="2"/>
  <c r="D305" i="2"/>
  <c r="BC304" i="2"/>
  <c r="B305" i="2" s="1"/>
  <c r="J305" i="2" l="1"/>
  <c r="K305" i="2" s="1"/>
  <c r="L305" i="2" s="1"/>
  <c r="M305" i="2"/>
  <c r="N305" i="2" s="1"/>
  <c r="Q305" i="2"/>
  <c r="R305" i="2"/>
  <c r="O305" i="2" l="1"/>
  <c r="H305" i="2" s="1"/>
  <c r="P305" i="2" s="1"/>
  <c r="C306" i="2" s="1"/>
  <c r="S305" i="2"/>
  <c r="T305" i="2" s="1"/>
  <c r="U305" i="2"/>
  <c r="V305" i="2" s="1"/>
  <c r="W305" i="2" s="1"/>
  <c r="AB305" i="2" l="1"/>
  <c r="AH305" i="2" s="1"/>
  <c r="AM305" i="2" s="1"/>
  <c r="AG305" i="2"/>
  <c r="AR305" i="2" l="1"/>
  <c r="AN305" i="2"/>
  <c r="AP305" i="2" s="1"/>
  <c r="AO305" i="2"/>
  <c r="AQ305" i="2"/>
  <c r="AI305" i="2"/>
  <c r="AJ305" i="2" s="1"/>
  <c r="AK305" i="2" s="1"/>
  <c r="AL305" i="2" s="1"/>
  <c r="AS305" i="2" l="1"/>
  <c r="AU305" i="2" s="1"/>
  <c r="AW305" i="2" s="1"/>
  <c r="AT305" i="2"/>
  <c r="AV305" i="2"/>
  <c r="E306" i="2" l="1"/>
  <c r="X306" i="2"/>
  <c r="AX305" i="2"/>
  <c r="AZ305" i="2" s="1"/>
  <c r="AY305" i="2"/>
  <c r="BA305" i="2"/>
  <c r="AC306" i="2" l="1"/>
  <c r="Y306" i="2"/>
  <c r="AA306" i="2" s="1"/>
  <c r="Z306" i="2"/>
  <c r="BB305" i="2"/>
  <c r="AD306" i="2" l="1"/>
  <c r="AF306" i="2" s="1"/>
  <c r="AE306" i="2"/>
  <c r="BC305" i="2"/>
  <c r="B306" i="2" s="1"/>
  <c r="D306" i="2"/>
  <c r="M306" i="2" l="1"/>
  <c r="N306" i="2" s="1"/>
  <c r="R306" i="2"/>
  <c r="Q306" i="2"/>
  <c r="J306" i="2"/>
  <c r="K306" i="2" s="1"/>
  <c r="L306" i="2" s="1"/>
  <c r="O306" i="2" l="1"/>
  <c r="H306" i="2" s="1"/>
  <c r="P306" i="2" s="1"/>
  <c r="C307" i="2" s="1"/>
  <c r="S306" i="2"/>
  <c r="T306" i="2" s="1"/>
  <c r="U306" i="2"/>
  <c r="V306" i="2" s="1"/>
  <c r="W306" i="2" s="1"/>
  <c r="AB306" i="2" l="1"/>
  <c r="AH306" i="2" s="1"/>
  <c r="AM306" i="2" s="1"/>
  <c r="AG306" i="2"/>
  <c r="AR306" i="2" l="1"/>
  <c r="AN306" i="2"/>
  <c r="AP306" i="2" s="1"/>
  <c r="AO306" i="2"/>
  <c r="AQ306" i="2"/>
  <c r="AI306" i="2"/>
  <c r="AJ306" i="2" s="1"/>
  <c r="AK306" i="2" s="1"/>
  <c r="AL306" i="2" s="1"/>
  <c r="AS306" i="2" l="1"/>
  <c r="AU306" i="2" s="1"/>
  <c r="AW306" i="2" s="1"/>
  <c r="AT306" i="2"/>
  <c r="AV306" i="2"/>
  <c r="E307" i="2" l="1"/>
  <c r="X307" i="2"/>
  <c r="AX306" i="2"/>
  <c r="AZ306" i="2" s="1"/>
  <c r="AY306" i="2"/>
  <c r="BA306" i="2"/>
  <c r="AC307" i="2" l="1"/>
  <c r="Y307" i="2"/>
  <c r="AA307" i="2" s="1"/>
  <c r="Z307" i="2"/>
  <c r="BB306" i="2"/>
  <c r="D307" i="2" l="1"/>
  <c r="BC306" i="2"/>
  <c r="B307" i="2" s="1"/>
  <c r="AD307" i="2"/>
  <c r="AF307" i="2" s="1"/>
  <c r="AE307" i="2"/>
  <c r="M307" i="2" l="1"/>
  <c r="N307" i="2" s="1"/>
  <c r="R307" i="2"/>
  <c r="Q307" i="2"/>
  <c r="J307" i="2"/>
  <c r="K307" i="2" s="1"/>
  <c r="L307" i="2" s="1"/>
  <c r="U307" i="2" l="1"/>
  <c r="V307" i="2" s="1"/>
  <c r="W307" i="2" s="1"/>
  <c r="O307" i="2"/>
  <c r="H307" i="2" s="1"/>
  <c r="P307" i="2" s="1"/>
  <c r="C308" i="2" s="1"/>
  <c r="C316" i="2" s="1"/>
  <c r="S307" i="2"/>
  <c r="T307" i="2" s="1"/>
  <c r="AG307" i="2" l="1"/>
  <c r="AB307" i="2"/>
  <c r="AH307" i="2" s="1"/>
  <c r="AM307" i="2" s="1"/>
  <c r="AR307" i="2" l="1"/>
  <c r="AN307" i="2"/>
  <c r="AP307" i="2" s="1"/>
  <c r="AO307" i="2"/>
  <c r="AQ307" i="2"/>
  <c r="AI307" i="2"/>
  <c r="AJ307" i="2" s="1"/>
  <c r="AK307" i="2" s="1"/>
  <c r="AL307" i="2" s="1"/>
  <c r="AS307" i="2" l="1"/>
  <c r="AT307" i="2"/>
  <c r="AV307" i="2"/>
  <c r="AU307" i="2" l="1"/>
  <c r="AW307" i="2" s="1"/>
  <c r="AX307" i="2" l="1"/>
  <c r="AY307" i="2"/>
  <c r="BA307" i="2"/>
  <c r="BA308" i="2" l="1"/>
  <c r="AZ307" i="2"/>
  <c r="AZ308" i="2" s="1"/>
  <c r="BB307" i="2" l="1"/>
  <c r="D308" i="2" l="1"/>
  <c r="D316" i="2" s="1"/>
  <c r="BC307" i="2"/>
  <c r="B308" i="2" s="1"/>
  <c r="B316" i="2" s="1"/>
  <c r="BY315" i="2" l="1"/>
  <c r="AH316" i="2"/>
  <c r="AE316" i="2"/>
  <c r="DJ315" i="2"/>
  <c r="BJ317" i="2"/>
  <c r="AL316" i="2"/>
  <c r="AM316" i="2"/>
  <c r="AQ316" i="2" s="1"/>
  <c r="AR316" i="2" s="1"/>
  <c r="AD316" i="2"/>
  <c r="DH316" i="2"/>
  <c r="BW316" i="2"/>
  <c r="AF316" i="2" l="1"/>
  <c r="AG316" i="2" s="1"/>
  <c r="AI316" i="2" s="1"/>
  <c r="BX316" i="2"/>
  <c r="B317" i="2" s="1"/>
  <c r="D317" i="2"/>
  <c r="DI316" i="2"/>
  <c r="DJ316" i="2" s="1"/>
  <c r="BN317" i="2"/>
  <c r="BK317" i="2"/>
  <c r="BL317" i="2"/>
  <c r="AN317" i="2" l="1"/>
  <c r="AO317" i="2" s="1"/>
  <c r="AJ316" i="2"/>
  <c r="AC316" i="2" s="1"/>
  <c r="AK316" i="2" s="1"/>
  <c r="C317" i="2" s="1"/>
  <c r="AE317" i="2"/>
  <c r="AH317" i="2"/>
  <c r="BY316" i="2"/>
  <c r="BO317" i="2"/>
  <c r="BP317" i="2"/>
  <c r="AM317" i="2" l="1"/>
  <c r="AL317" i="2"/>
  <c r="AD317" i="2"/>
  <c r="AF317" i="2" l="1"/>
  <c r="AG317" i="2" s="1"/>
  <c r="AI317" i="2" s="1"/>
  <c r="AN318" i="2" l="1"/>
  <c r="AO318" i="2" s="1"/>
  <c r="AJ317" i="2"/>
  <c r="AC317" i="2" s="1"/>
  <c r="AK317" i="2" s="1"/>
  <c r="C318" i="2" s="1"/>
  <c r="AP317" i="2"/>
  <c r="AQ317" i="2" s="1"/>
  <c r="AR317" i="2" s="1"/>
  <c r="BM317" i="2" l="1"/>
  <c r="BQ317" i="2"/>
  <c r="BR317" i="2" l="1"/>
  <c r="BJ318" i="2" l="1"/>
  <c r="CU317" i="2"/>
  <c r="BS317" i="2"/>
  <c r="BT317" i="2"/>
  <c r="BU317" i="2"/>
  <c r="CY317" i="2" l="1"/>
  <c r="BV317" i="2"/>
  <c r="BN318" i="2"/>
  <c r="CR317" i="2" l="1"/>
  <c r="CS317" i="2" s="1"/>
  <c r="CT317" i="2" s="1"/>
  <c r="BW317" i="2"/>
  <c r="BX317" i="2" l="1"/>
  <c r="D318" i="2"/>
  <c r="CV317" i="2"/>
  <c r="CZ317" i="2"/>
  <c r="DA317" i="2"/>
  <c r="EA317" i="2"/>
  <c r="CW317" i="2"/>
  <c r="EB317" i="2"/>
  <c r="AD318" i="2" l="1"/>
  <c r="B318" i="2"/>
  <c r="BY317" i="2"/>
  <c r="AF318" i="2" l="1"/>
  <c r="AG318" i="2" s="1"/>
  <c r="AI318" i="2" s="1"/>
  <c r="CX317" i="2"/>
  <c r="DC317" i="2" s="1"/>
  <c r="DB317" i="2"/>
  <c r="AH318" i="2"/>
  <c r="AE318" i="2"/>
  <c r="AM318" i="2"/>
  <c r="AL318" i="2"/>
  <c r="AJ318" i="2" l="1"/>
  <c r="AC318" i="2" s="1"/>
  <c r="AK318" i="2" s="1"/>
  <c r="C319" i="2" s="1"/>
  <c r="AN319" i="2"/>
  <c r="AO319" i="2" s="1"/>
  <c r="AP318" i="2"/>
  <c r="AQ318" i="2" s="1"/>
  <c r="AR318" i="2" s="1"/>
  <c r="DF317" i="2"/>
  <c r="DD317" i="2"/>
  <c r="DE317" i="2"/>
  <c r="DG317" i="2" l="1"/>
  <c r="BM318" i="2"/>
  <c r="BQ318" i="2"/>
  <c r="DH317" i="2" l="1"/>
  <c r="EC317" i="2"/>
  <c r="ED317" i="2" s="1"/>
  <c r="I318" i="2" l="1"/>
  <c r="EE317" i="2"/>
  <c r="DI317" i="2"/>
  <c r="DJ317" i="2" s="1"/>
  <c r="L318" i="2" l="1"/>
  <c r="Q318" i="2"/>
  <c r="U318" i="2"/>
  <c r="V318" i="2"/>
  <c r="CP318" i="2"/>
  <c r="BL318" i="2"/>
  <c r="CF318" i="2"/>
  <c r="BP318" i="2"/>
  <c r="CB318" i="2"/>
  <c r="M318" i="2" l="1"/>
  <c r="N318" i="2"/>
  <c r="O318" i="2" l="1"/>
  <c r="P318" i="2" s="1"/>
  <c r="R318" i="2" s="1"/>
  <c r="S318" i="2" l="1"/>
  <c r="K318" i="2" s="1"/>
  <c r="T318" i="2" s="1"/>
  <c r="W318" i="2"/>
  <c r="X318" i="2" s="1"/>
  <c r="Y318" i="2" s="1"/>
  <c r="Z318" i="2" s="1"/>
  <c r="AA318" i="2" l="1"/>
  <c r="CQ318" i="2"/>
  <c r="CA318" i="2" l="1"/>
  <c r="CH318" i="2" s="1"/>
  <c r="BK318" i="2"/>
  <c r="CE318" i="2"/>
  <c r="BO318" i="2"/>
  <c r="BZ319" i="2" l="1"/>
  <c r="DK318" i="2"/>
  <c r="CK318" i="2"/>
  <c r="CI318" i="2"/>
  <c r="CL318" i="2" s="1"/>
  <c r="CM318" i="2" s="1"/>
  <c r="CJ318" i="2"/>
  <c r="BR318" i="2"/>
  <c r="CN318" i="2" l="1"/>
  <c r="BJ319" i="2"/>
  <c r="CU318" i="2"/>
  <c r="BU318" i="2"/>
  <c r="BT318" i="2"/>
  <c r="BS318" i="2"/>
  <c r="DO318" i="2"/>
  <c r="DN318" i="2"/>
  <c r="DM318" i="2"/>
  <c r="DL318" i="2"/>
  <c r="CD319" i="2"/>
  <c r="BN319" i="2" l="1"/>
  <c r="E319" i="2"/>
  <c r="CO318" i="2"/>
  <c r="BV318" i="2"/>
  <c r="DR318" i="2"/>
  <c r="DQ318" i="2"/>
  <c r="DP318" i="2"/>
  <c r="DS318" i="2" s="1"/>
  <c r="CY318" i="2"/>
  <c r="DV318" i="2" l="1"/>
  <c r="DU318" i="2"/>
  <c r="DT318" i="2"/>
  <c r="AY319" i="2"/>
  <c r="AV319" i="2"/>
  <c r="BD319" i="2"/>
  <c r="BC319" i="2"/>
  <c r="BW318" i="2"/>
  <c r="CR318" i="2"/>
  <c r="CS318" i="2" s="1"/>
  <c r="CT318" i="2" s="1"/>
  <c r="DW318" i="2" l="1"/>
  <c r="DX318" i="2" s="1"/>
  <c r="CV318" i="2"/>
  <c r="CZ318" i="2"/>
  <c r="EA318" i="2"/>
  <c r="CW318" i="2"/>
  <c r="DA318" i="2"/>
  <c r="EB318" i="2"/>
  <c r="D319" i="2"/>
  <c r="BX318" i="2"/>
  <c r="DY318" i="2" l="1"/>
  <c r="DZ318" i="2" s="1"/>
  <c r="G319" i="2"/>
  <c r="AU319" i="2" s="1"/>
  <c r="AD319" i="2"/>
  <c r="B319" i="2"/>
  <c r="BY318" i="2"/>
  <c r="AW319" i="2" l="1"/>
  <c r="AX319" i="2" s="1"/>
  <c r="AZ319" i="2" s="1"/>
  <c r="AF319" i="2"/>
  <c r="AG319" i="2" s="1"/>
  <c r="AI319" i="2" s="1"/>
  <c r="AH319" i="2"/>
  <c r="AE319" i="2"/>
  <c r="AL319" i="2"/>
  <c r="AM319" i="2"/>
  <c r="CX318" i="2"/>
  <c r="DB318" i="2"/>
  <c r="AN320" i="2" l="1"/>
  <c r="AO320" i="2" s="1"/>
  <c r="AJ319" i="2"/>
  <c r="AC319" i="2" s="1"/>
  <c r="AK319" i="2" s="1"/>
  <c r="C320" i="2" s="1"/>
  <c r="AP319" i="2"/>
  <c r="AQ319" i="2" s="1"/>
  <c r="AR319" i="2" s="1"/>
  <c r="BE320" i="2"/>
  <c r="BA319" i="2"/>
  <c r="AT319" i="2" s="1"/>
  <c r="BB319" i="2" s="1"/>
  <c r="F320" i="2" s="1"/>
  <c r="DC318" i="2"/>
  <c r="DF318" i="2" l="1"/>
  <c r="DE318" i="2"/>
  <c r="DD318" i="2"/>
  <c r="BF319" i="2"/>
  <c r="BG319" i="2" s="1"/>
  <c r="BH319" i="2" s="1"/>
  <c r="BI319" i="2" s="1"/>
  <c r="BM319" i="2"/>
  <c r="BQ319" i="2"/>
  <c r="DG318" i="2" l="1"/>
  <c r="CC319" i="2"/>
  <c r="CG319" i="2"/>
  <c r="DH318" i="2" l="1"/>
  <c r="EC318" i="2"/>
  <c r="ED318" i="2" s="1"/>
  <c r="I319" i="2" l="1"/>
  <c r="EE318" i="2"/>
  <c r="DI318" i="2"/>
  <c r="DJ318" i="2" s="1"/>
  <c r="L319" i="2" l="1"/>
  <c r="Q319" i="2"/>
  <c r="U319" i="2"/>
  <c r="V319" i="2"/>
  <c r="BP319" i="2"/>
  <c r="CP319" i="2"/>
  <c r="BL319" i="2"/>
  <c r="CF319" i="2"/>
  <c r="CB319" i="2"/>
  <c r="M319" i="2" l="1"/>
  <c r="N319" i="2"/>
  <c r="O319" i="2" l="1"/>
  <c r="P319" i="2" s="1"/>
  <c r="R319" i="2" s="1"/>
  <c r="S319" i="2" l="1"/>
  <c r="K319" i="2" s="1"/>
  <c r="T319" i="2" s="1"/>
  <c r="W319" i="2"/>
  <c r="X319" i="2" s="1"/>
  <c r="Y319" i="2" s="1"/>
  <c r="Z319" i="2" s="1"/>
  <c r="CQ319" i="2" l="1"/>
  <c r="AA319" i="2"/>
  <c r="CA319" i="2" l="1"/>
  <c r="BK319" i="2"/>
  <c r="BR319" i="2" s="1"/>
  <c r="CE319" i="2"/>
  <c r="BO319" i="2"/>
  <c r="CU319" i="2" l="1"/>
  <c r="BJ320" i="2"/>
  <c r="BU319" i="2"/>
  <c r="BV319" i="2" s="1"/>
  <c r="BW319" i="2" s="1"/>
  <c r="BS319" i="2"/>
  <c r="BT319" i="2"/>
  <c r="CH319" i="2"/>
  <c r="D320" i="2" l="1"/>
  <c r="BX319" i="2"/>
  <c r="DK319" i="2"/>
  <c r="BZ320" i="2"/>
  <c r="CK319" i="2"/>
  <c r="CR319" i="2" s="1"/>
  <c r="CS319" i="2" s="1"/>
  <c r="CT319" i="2" s="1"/>
  <c r="CJ319" i="2"/>
  <c r="CI319" i="2"/>
  <c r="BN320" i="2"/>
  <c r="CY319" i="2"/>
  <c r="CV319" i="2" l="1"/>
  <c r="CZ319" i="2"/>
  <c r="EA319" i="2"/>
  <c r="DA319" i="2"/>
  <c r="CW319" i="2"/>
  <c r="EB319" i="2"/>
  <c r="CD320" i="2"/>
  <c r="B320" i="2"/>
  <c r="BY319" i="2"/>
  <c r="CL319" i="2"/>
  <c r="CM319" i="2" s="1"/>
  <c r="DO319" i="2"/>
  <c r="DN319" i="2"/>
  <c r="DM319" i="2"/>
  <c r="DL319" i="2"/>
  <c r="CN319" i="2" l="1"/>
  <c r="CX319" i="2"/>
  <c r="AH320" i="2"/>
  <c r="AE320" i="2"/>
  <c r="AL320" i="2"/>
  <c r="AM320" i="2"/>
  <c r="AD320" i="2"/>
  <c r="DR319" i="2"/>
  <c r="DQ319" i="2"/>
  <c r="DP319" i="2"/>
  <c r="DS319" i="2" s="1"/>
  <c r="DB319" i="2"/>
  <c r="DC319" i="2" s="1"/>
  <c r="DF319" i="2" l="1"/>
  <c r="DE319" i="2"/>
  <c r="DD319" i="2"/>
  <c r="DV319" i="2"/>
  <c r="DT319" i="2"/>
  <c r="DU319" i="2"/>
  <c r="AF320" i="2"/>
  <c r="AG320" i="2" s="1"/>
  <c r="AI320" i="2" s="1"/>
  <c r="E320" i="2"/>
  <c r="CO319" i="2"/>
  <c r="AJ320" i="2" l="1"/>
  <c r="AC320" i="2" s="1"/>
  <c r="AK320" i="2" s="1"/>
  <c r="C321" i="2" s="1"/>
  <c r="AN321" i="2"/>
  <c r="AO321" i="2" s="1"/>
  <c r="AP320" i="2"/>
  <c r="AQ320" i="2" s="1"/>
  <c r="AR320" i="2" s="1"/>
  <c r="EC319" i="2"/>
  <c r="ED319" i="2" s="1"/>
  <c r="AY320" i="2"/>
  <c r="AV320" i="2"/>
  <c r="BC320" i="2"/>
  <c r="BD320" i="2"/>
  <c r="DW319" i="2"/>
  <c r="DX319" i="2" s="1"/>
  <c r="DG319" i="2"/>
  <c r="DH319" i="2" s="1"/>
  <c r="EE319" i="2" l="1"/>
  <c r="I320" i="2"/>
  <c r="DI319" i="2"/>
  <c r="DJ319" i="2" s="1"/>
  <c r="DY319" i="2"/>
  <c r="DZ319" i="2" s="1"/>
  <c r="G320" i="2"/>
  <c r="AU320" i="2" s="1"/>
  <c r="BM320" i="2"/>
  <c r="BQ320" i="2"/>
  <c r="AW320" i="2" l="1"/>
  <c r="AX320" i="2" s="1"/>
  <c r="AZ320" i="2" s="1"/>
  <c r="Q320" i="2"/>
  <c r="U320" i="2"/>
  <c r="V320" i="2"/>
  <c r="L320" i="2"/>
  <c r="CP320" i="2"/>
  <c r="BL320" i="2"/>
  <c r="CB320" i="2"/>
  <c r="BP320" i="2"/>
  <c r="CF320" i="2"/>
  <c r="BA320" i="2" l="1"/>
  <c r="AT320" i="2" s="1"/>
  <c r="BB320" i="2" s="1"/>
  <c r="F321" i="2" s="1"/>
  <c r="BE321" i="2"/>
  <c r="M320" i="2"/>
  <c r="N320" i="2"/>
  <c r="O320" i="2" l="1"/>
  <c r="P320" i="2" s="1"/>
  <c r="R320" i="2" s="1"/>
  <c r="BF320" i="2"/>
  <c r="BG320" i="2" s="1"/>
  <c r="BH320" i="2" s="1"/>
  <c r="BI320" i="2" s="1"/>
  <c r="S320" i="2" l="1"/>
  <c r="K320" i="2" s="1"/>
  <c r="T320" i="2" s="1"/>
  <c r="W320" i="2"/>
  <c r="X320" i="2" s="1"/>
  <c r="Y320" i="2" s="1"/>
  <c r="Z320" i="2" s="1"/>
  <c r="CC320" i="2"/>
  <c r="CG320" i="2"/>
  <c r="CQ320" i="2" l="1"/>
  <c r="AA320" i="2"/>
  <c r="CA320" i="2" l="1"/>
  <c r="BK320" i="2"/>
  <c r="CE320" i="2"/>
  <c r="BO320" i="2"/>
  <c r="BR320" i="2" l="1"/>
  <c r="CH320" i="2"/>
  <c r="DK320" i="2" l="1"/>
  <c r="BZ321" i="2"/>
  <c r="CI320" i="2"/>
  <c r="CJ320" i="2"/>
  <c r="CK320" i="2"/>
  <c r="CU320" i="2"/>
  <c r="BJ321" i="2"/>
  <c r="BU320" i="2"/>
  <c r="BS320" i="2"/>
  <c r="BT320" i="2"/>
  <c r="CL320" i="2" l="1"/>
  <c r="CM320" i="2" s="1"/>
  <c r="CY320" i="2"/>
  <c r="CD321" i="2"/>
  <c r="BV320" i="2"/>
  <c r="BW320" i="2" s="1"/>
  <c r="BN321" i="2"/>
  <c r="CR320" i="2"/>
  <c r="CS320" i="2" s="1"/>
  <c r="CT320" i="2" s="1"/>
  <c r="DO320" i="2"/>
  <c r="DL320" i="2"/>
  <c r="DM320" i="2"/>
  <c r="DN320" i="2"/>
  <c r="DP320" i="2" l="1"/>
  <c r="DS320" i="2" s="1"/>
  <c r="DQ320" i="2"/>
  <c r="DR320" i="2"/>
  <c r="BX320" i="2"/>
  <c r="D321" i="2"/>
  <c r="CV320" i="2"/>
  <c r="CZ320" i="2"/>
  <c r="DA320" i="2"/>
  <c r="CW320" i="2"/>
  <c r="EA320" i="2"/>
  <c r="EB320" i="2"/>
  <c r="CN320" i="2"/>
  <c r="DT320" i="2" l="1"/>
  <c r="DU320" i="2"/>
  <c r="DV320" i="2"/>
  <c r="E321" i="2"/>
  <c r="CO320" i="2"/>
  <c r="AD321" i="2"/>
  <c r="B321" i="2"/>
  <c r="BY320" i="2"/>
  <c r="AF321" i="2" l="1"/>
  <c r="AG321" i="2" s="1"/>
  <c r="AI321" i="2" s="1"/>
  <c r="CX320" i="2"/>
  <c r="DC320" i="2" s="1"/>
  <c r="DB320" i="2"/>
  <c r="AH321" i="2"/>
  <c r="AE321" i="2"/>
  <c r="AL321" i="2"/>
  <c r="AM321" i="2"/>
  <c r="AY321" i="2"/>
  <c r="AV321" i="2"/>
  <c r="BC321" i="2"/>
  <c r="BD321" i="2"/>
  <c r="DW320" i="2"/>
  <c r="DX320" i="2" s="1"/>
  <c r="AN322" i="2" l="1"/>
  <c r="AO322" i="2" s="1"/>
  <c r="AJ321" i="2"/>
  <c r="AC321" i="2" s="1"/>
  <c r="AK321" i="2" s="1"/>
  <c r="C322" i="2" s="1"/>
  <c r="AP321" i="2"/>
  <c r="AQ321" i="2" s="1"/>
  <c r="AR321" i="2" s="1"/>
  <c r="DF320" i="2"/>
  <c r="DD320" i="2"/>
  <c r="DE320" i="2"/>
  <c r="DY320" i="2"/>
  <c r="DZ320" i="2" s="1"/>
  <c r="G321" i="2"/>
  <c r="AU321" i="2" s="1"/>
  <c r="AW321" i="2" l="1"/>
  <c r="AX321" i="2" s="1"/>
  <c r="AZ321" i="2" s="1"/>
  <c r="DG320" i="2"/>
  <c r="BM321" i="2"/>
  <c r="BQ321" i="2"/>
  <c r="BE322" i="2" l="1"/>
  <c r="BA321" i="2"/>
  <c r="AT321" i="2" s="1"/>
  <c r="BB321" i="2" s="1"/>
  <c r="F322" i="2" s="1"/>
  <c r="DH320" i="2"/>
  <c r="EC320" i="2"/>
  <c r="ED320" i="2" s="1"/>
  <c r="DI320" i="2" l="1"/>
  <c r="DJ320" i="2" s="1"/>
  <c r="EE320" i="2"/>
  <c r="I321" i="2"/>
  <c r="BF321" i="2"/>
  <c r="BG321" i="2" s="1"/>
  <c r="BH321" i="2" s="1"/>
  <c r="BI321" i="2" s="1"/>
  <c r="CC321" i="2" l="1"/>
  <c r="CG321" i="2"/>
  <c r="L321" i="2"/>
  <c r="Q321" i="2"/>
  <c r="U321" i="2"/>
  <c r="V321" i="2"/>
  <c r="BP321" i="2"/>
  <c r="CB321" i="2"/>
  <c r="CP321" i="2"/>
  <c r="BL321" i="2"/>
  <c r="CF321" i="2"/>
  <c r="M321" i="2" l="1"/>
  <c r="N321" i="2"/>
  <c r="O321" i="2" l="1"/>
  <c r="P321" i="2" s="1"/>
  <c r="R321" i="2" s="1"/>
  <c r="S321" i="2" l="1"/>
  <c r="K321" i="2" s="1"/>
  <c r="T321" i="2" s="1"/>
  <c r="W321" i="2"/>
  <c r="X321" i="2" s="1"/>
  <c r="Y321" i="2" s="1"/>
  <c r="Z321" i="2" s="1"/>
  <c r="CQ321" i="2" l="1"/>
  <c r="AA321" i="2"/>
  <c r="BK321" i="2" l="1"/>
  <c r="CE321" i="2"/>
  <c r="BO321" i="2"/>
  <c r="CA321" i="2"/>
  <c r="CH321" i="2" s="1"/>
  <c r="DK321" i="2" l="1"/>
  <c r="BZ322" i="2"/>
  <c r="CJ321" i="2"/>
  <c r="CK321" i="2"/>
  <c r="CI321" i="2"/>
  <c r="BR321" i="2"/>
  <c r="CU321" i="2" l="1"/>
  <c r="BJ322" i="2"/>
  <c r="BU321" i="2"/>
  <c r="BT321" i="2"/>
  <c r="BS321" i="2"/>
  <c r="CD322" i="2"/>
  <c r="CL321" i="2"/>
  <c r="CM321" i="2" s="1"/>
  <c r="DO321" i="2"/>
  <c r="DN321" i="2"/>
  <c r="DL321" i="2"/>
  <c r="DM321" i="2"/>
  <c r="BV321" i="2" l="1"/>
  <c r="DP321" i="2"/>
  <c r="DS321" i="2" s="1"/>
  <c r="DR321" i="2"/>
  <c r="DQ321" i="2"/>
  <c r="BN322" i="2"/>
  <c r="CN321" i="2"/>
  <c r="CY321" i="2"/>
  <c r="DU321" i="2" l="1"/>
  <c r="DV321" i="2"/>
  <c r="DT321" i="2"/>
  <c r="BW321" i="2"/>
  <c r="CR321" i="2"/>
  <c r="CS321" i="2" s="1"/>
  <c r="CT321" i="2" s="1"/>
  <c r="E322" i="2"/>
  <c r="CO321" i="2"/>
  <c r="D322" i="2" l="1"/>
  <c r="BX321" i="2"/>
  <c r="AY322" i="2"/>
  <c r="AV322" i="2"/>
  <c r="BC322" i="2"/>
  <c r="BD322" i="2"/>
  <c r="DW321" i="2"/>
  <c r="DX321" i="2" s="1"/>
  <c r="CV321" i="2"/>
  <c r="CZ321" i="2"/>
  <c r="CW321" i="2"/>
  <c r="EA321" i="2"/>
  <c r="DA321" i="2"/>
  <c r="EB321" i="2"/>
  <c r="DY321" i="2" l="1"/>
  <c r="DZ321" i="2" s="1"/>
  <c r="G322" i="2"/>
  <c r="AU322" i="2" s="1"/>
  <c r="B322" i="2"/>
  <c r="BY321" i="2"/>
  <c r="AD322" i="2"/>
  <c r="AH322" i="2" l="1"/>
  <c r="AE322" i="2"/>
  <c r="AL322" i="2"/>
  <c r="AM322" i="2"/>
  <c r="AW322" i="2"/>
  <c r="AX322" i="2" s="1"/>
  <c r="AZ322" i="2" s="1"/>
  <c r="AI322" i="2"/>
  <c r="AF322" i="2"/>
  <c r="AG322" i="2" s="1"/>
  <c r="CX321" i="2"/>
  <c r="DC321" i="2" s="1"/>
  <c r="DB321" i="2"/>
  <c r="BE323" i="2" l="1"/>
  <c r="BA322" i="2"/>
  <c r="AT322" i="2" s="1"/>
  <c r="BB322" i="2" s="1"/>
  <c r="F323" i="2" s="1"/>
  <c r="AN323" i="2"/>
  <c r="AO323" i="2" s="1"/>
  <c r="AJ322" i="2"/>
  <c r="AC322" i="2" s="1"/>
  <c r="AK322" i="2" s="1"/>
  <c r="C323" i="2" s="1"/>
  <c r="AP322" i="2"/>
  <c r="AQ322" i="2" s="1"/>
  <c r="AR322" i="2" s="1"/>
  <c r="DF321" i="2"/>
  <c r="DD321" i="2"/>
  <c r="DE321" i="2"/>
  <c r="BM322" i="2" l="1"/>
  <c r="BQ322" i="2"/>
  <c r="DG321" i="2"/>
  <c r="BF322" i="2"/>
  <c r="BG322" i="2" s="1"/>
  <c r="BH322" i="2" s="1"/>
  <c r="BI322" i="2" s="1"/>
  <c r="CC322" i="2" l="1"/>
  <c r="CG322" i="2"/>
  <c r="DH321" i="2"/>
  <c r="EC321" i="2"/>
  <c r="ED321" i="2" s="1"/>
  <c r="DI321" i="2" l="1"/>
  <c r="DJ321" i="2" s="1"/>
  <c r="I322" i="2"/>
  <c r="EE321" i="2"/>
  <c r="Q322" i="2" l="1"/>
  <c r="U322" i="2"/>
  <c r="V322" i="2"/>
  <c r="L322" i="2"/>
  <c r="CP322" i="2"/>
  <c r="CB322" i="2"/>
  <c r="BL322" i="2"/>
  <c r="BP322" i="2"/>
  <c r="CF322" i="2"/>
  <c r="M322" i="2" l="1"/>
  <c r="N322" i="2"/>
  <c r="O322" i="2" l="1"/>
  <c r="P322" i="2" s="1"/>
  <c r="R322" i="2" s="1"/>
  <c r="S322" i="2" l="1"/>
  <c r="K322" i="2" s="1"/>
  <c r="T322" i="2" s="1"/>
  <c r="W322" i="2"/>
  <c r="X322" i="2" s="1"/>
  <c r="Y322" i="2" s="1"/>
  <c r="Z322" i="2" s="1"/>
  <c r="CQ322" i="2" l="1"/>
  <c r="AA322" i="2"/>
  <c r="CA322" i="2" l="1"/>
  <c r="BK322" i="2"/>
  <c r="BR322" i="2" s="1"/>
  <c r="CE322" i="2"/>
  <c r="BO322" i="2"/>
  <c r="CU322" i="2" l="1"/>
  <c r="BJ323" i="2"/>
  <c r="BU322" i="2"/>
  <c r="BV322" i="2" s="1"/>
  <c r="BW322" i="2" s="1"/>
  <c r="BS322" i="2"/>
  <c r="BT322" i="2"/>
  <c r="CH322" i="2"/>
  <c r="BX322" i="2" l="1"/>
  <c r="D323" i="2"/>
  <c r="DK322" i="2"/>
  <c r="BZ323" i="2"/>
  <c r="CK322" i="2"/>
  <c r="CR322" i="2" s="1"/>
  <c r="CS322" i="2" s="1"/>
  <c r="CT322" i="2" s="1"/>
  <c r="CJ322" i="2"/>
  <c r="CI322" i="2"/>
  <c r="BN323" i="2"/>
  <c r="CY322" i="2"/>
  <c r="CV322" i="2" l="1"/>
  <c r="CZ322" i="2"/>
  <c r="EA322" i="2"/>
  <c r="CW322" i="2"/>
  <c r="DA322" i="2"/>
  <c r="EB322" i="2"/>
  <c r="CD323" i="2"/>
  <c r="CL322" i="2"/>
  <c r="CM322" i="2" s="1"/>
  <c r="DO322" i="2"/>
  <c r="DN322" i="2"/>
  <c r="DM322" i="2"/>
  <c r="DL322" i="2"/>
  <c r="AD323" i="2"/>
  <c r="B323" i="2"/>
  <c r="BY322" i="2"/>
  <c r="AE323" i="2" l="1"/>
  <c r="AH323" i="2"/>
  <c r="AL323" i="2"/>
  <c r="AM323" i="2"/>
  <c r="CN322" i="2"/>
  <c r="CX322" i="2"/>
  <c r="DC322" i="2" s="1"/>
  <c r="DR322" i="2"/>
  <c r="DQ322" i="2"/>
  <c r="DP322" i="2"/>
  <c r="DS322" i="2" s="1"/>
  <c r="DB322" i="2"/>
  <c r="AF323" i="2"/>
  <c r="AG323" i="2" s="1"/>
  <c r="AI323" i="2" s="1"/>
  <c r="AN324" i="2" l="1"/>
  <c r="AO324" i="2" s="1"/>
  <c r="AJ323" i="2"/>
  <c r="AC323" i="2" s="1"/>
  <c r="AK323" i="2" s="1"/>
  <c r="C324" i="2" s="1"/>
  <c r="AP323" i="2"/>
  <c r="AQ323" i="2" s="1"/>
  <c r="AR323" i="2" s="1"/>
  <c r="DF322" i="2"/>
  <c r="DE322" i="2"/>
  <c r="DD322" i="2"/>
  <c r="DV322" i="2"/>
  <c r="DT322" i="2"/>
  <c r="DU322" i="2"/>
  <c r="E323" i="2"/>
  <c r="CO322" i="2"/>
  <c r="DW322" i="2" l="1"/>
  <c r="DX322" i="2" s="1"/>
  <c r="DG322" i="2"/>
  <c r="DH322" i="2" s="1"/>
  <c r="EC322" i="2"/>
  <c r="ED322" i="2" s="1"/>
  <c r="BM323" i="2"/>
  <c r="BQ323" i="2"/>
  <c r="AV323" i="2"/>
  <c r="AY323" i="2"/>
  <c r="BC323" i="2"/>
  <c r="BD323" i="2"/>
  <c r="EE322" i="2" l="1"/>
  <c r="I323" i="2"/>
  <c r="DI322" i="2"/>
  <c r="DJ322" i="2" s="1"/>
  <c r="DY322" i="2"/>
  <c r="DZ322" i="2" s="1"/>
  <c r="G323" i="2"/>
  <c r="AU323" i="2" s="1"/>
  <c r="AW323" i="2" l="1"/>
  <c r="AX323" i="2" s="1"/>
  <c r="AZ323" i="2" s="1"/>
  <c r="V323" i="2"/>
  <c r="L323" i="2"/>
  <c r="Q323" i="2"/>
  <c r="U323" i="2"/>
  <c r="CB323" i="2"/>
  <c r="BL323" i="2"/>
  <c r="CF323" i="2"/>
  <c r="CP323" i="2"/>
  <c r="BP323" i="2"/>
  <c r="BE324" i="2" l="1"/>
  <c r="BA323" i="2"/>
  <c r="AT323" i="2" s="1"/>
  <c r="BB323" i="2" s="1"/>
  <c r="F324" i="2" s="1"/>
  <c r="N323" i="2"/>
  <c r="M323" i="2"/>
  <c r="O323" i="2" l="1"/>
  <c r="P323" i="2" s="1"/>
  <c r="R323" i="2" s="1"/>
  <c r="BF323" i="2"/>
  <c r="BG323" i="2" s="1"/>
  <c r="BH323" i="2" s="1"/>
  <c r="BI323" i="2" s="1"/>
  <c r="S323" i="2" l="1"/>
  <c r="K323" i="2" s="1"/>
  <c r="T323" i="2" s="1"/>
  <c r="W323" i="2"/>
  <c r="X323" i="2" s="1"/>
  <c r="Y323" i="2" s="1"/>
  <c r="Z323" i="2" s="1"/>
  <c r="CC323" i="2"/>
  <c r="CG323" i="2"/>
  <c r="AA323" i="2" l="1"/>
  <c r="CQ323" i="2"/>
  <c r="BK323" i="2" l="1"/>
  <c r="CE323" i="2"/>
  <c r="BO323" i="2"/>
  <c r="CA323" i="2"/>
  <c r="BR323" i="2" l="1"/>
  <c r="CH323" i="2"/>
  <c r="BZ324" i="2" l="1"/>
  <c r="DK323" i="2"/>
  <c r="CI323" i="2"/>
  <c r="CJ323" i="2"/>
  <c r="CK323" i="2"/>
  <c r="BJ324" i="2"/>
  <c r="CU323" i="2"/>
  <c r="BU323" i="2"/>
  <c r="BT323" i="2"/>
  <c r="BS323" i="2"/>
  <c r="BV323" i="2" l="1"/>
  <c r="BW323" i="2" s="1"/>
  <c r="CY323" i="2"/>
  <c r="CL323" i="2"/>
  <c r="CM323" i="2" s="1"/>
  <c r="BN324" i="2"/>
  <c r="DO323" i="2"/>
  <c r="DL323" i="2"/>
  <c r="DM323" i="2"/>
  <c r="DN323" i="2"/>
  <c r="CR323" i="2"/>
  <c r="CS323" i="2" s="1"/>
  <c r="CT323" i="2" s="1"/>
  <c r="CD324" i="2"/>
  <c r="DQ323" i="2" l="1"/>
  <c r="DP323" i="2"/>
  <c r="DS323" i="2" s="1"/>
  <c r="DR323" i="2"/>
  <c r="CV323" i="2"/>
  <c r="CZ323" i="2"/>
  <c r="CW323" i="2"/>
  <c r="DA323" i="2"/>
  <c r="EA323" i="2"/>
  <c r="EB323" i="2"/>
  <c r="CN323" i="2"/>
  <c r="BX323" i="2"/>
  <c r="D324" i="2"/>
  <c r="DU323" i="2" l="1"/>
  <c r="DT323" i="2"/>
  <c r="DV323" i="2"/>
  <c r="B324" i="2"/>
  <c r="BY323" i="2"/>
  <c r="E324" i="2"/>
  <c r="CO323" i="2"/>
  <c r="AD324" i="2"/>
  <c r="AH324" i="2" l="1"/>
  <c r="AE324" i="2"/>
  <c r="AM324" i="2"/>
  <c r="AL324" i="2"/>
  <c r="AY324" i="2"/>
  <c r="AV324" i="2"/>
  <c r="BC324" i="2"/>
  <c r="BD324" i="2"/>
  <c r="DW323" i="2"/>
  <c r="DX323" i="2" s="1"/>
  <c r="AF324" i="2"/>
  <c r="AG324" i="2" s="1"/>
  <c r="AI324" i="2" s="1"/>
  <c r="CX323" i="2"/>
  <c r="DC323" i="2" s="1"/>
  <c r="DB323" i="2"/>
  <c r="AJ324" i="2" l="1"/>
  <c r="AC324" i="2" s="1"/>
  <c r="AK324" i="2" s="1"/>
  <c r="C325" i="2" s="1"/>
  <c r="AN325" i="2"/>
  <c r="AO325" i="2" s="1"/>
  <c r="AP324" i="2"/>
  <c r="AQ324" i="2" s="1"/>
  <c r="AR324" i="2" s="1"/>
  <c r="DF323" i="2"/>
  <c r="DE323" i="2"/>
  <c r="DD323" i="2"/>
  <c r="DY323" i="2"/>
  <c r="DZ323" i="2" s="1"/>
  <c r="G324" i="2"/>
  <c r="AU324" i="2" s="1"/>
  <c r="AW324" i="2" l="1"/>
  <c r="AX324" i="2" s="1"/>
  <c r="AZ324" i="2" s="1"/>
  <c r="DG323" i="2"/>
  <c r="BM324" i="2"/>
  <c r="BQ324" i="2"/>
  <c r="BA324" i="2" l="1"/>
  <c r="AT324" i="2" s="1"/>
  <c r="BB324" i="2" s="1"/>
  <c r="F325" i="2" s="1"/>
  <c r="BE325" i="2"/>
  <c r="DH323" i="2"/>
  <c r="EC323" i="2"/>
  <c r="ED323" i="2" s="1"/>
  <c r="I324" i="2" l="1"/>
  <c r="EE323" i="2"/>
  <c r="DI323" i="2"/>
  <c r="DJ323" i="2" s="1"/>
  <c r="BF324" i="2"/>
  <c r="BG324" i="2" s="1"/>
  <c r="BH324" i="2" s="1"/>
  <c r="BI324" i="2" s="1"/>
  <c r="CC324" i="2" l="1"/>
  <c r="CG324" i="2"/>
  <c r="L324" i="2"/>
  <c r="Q324" i="2"/>
  <c r="U324" i="2"/>
  <c r="V324" i="2"/>
  <c r="BL324" i="2"/>
  <c r="CF324" i="2"/>
  <c r="BP324" i="2"/>
  <c r="CB324" i="2"/>
  <c r="CP324" i="2"/>
  <c r="M324" i="2" l="1"/>
  <c r="N324" i="2"/>
  <c r="O324" i="2" l="1"/>
  <c r="P324" i="2" s="1"/>
  <c r="R324" i="2" s="1"/>
  <c r="S324" i="2" l="1"/>
  <c r="K324" i="2" s="1"/>
  <c r="T324" i="2" s="1"/>
  <c r="W324" i="2"/>
  <c r="X324" i="2" s="1"/>
  <c r="Y324" i="2" s="1"/>
  <c r="Z324" i="2" s="1"/>
  <c r="AA324" i="2" l="1"/>
  <c r="CQ324" i="2"/>
  <c r="BK324" i="2" l="1"/>
  <c r="BR324" i="2" s="1"/>
  <c r="CE324" i="2"/>
  <c r="BO324" i="2"/>
  <c r="CA324" i="2"/>
  <c r="BJ325" i="2" l="1"/>
  <c r="CU324" i="2"/>
  <c r="BU324" i="2"/>
  <c r="BT324" i="2"/>
  <c r="BS324" i="2"/>
  <c r="CH324" i="2"/>
  <c r="BZ325" i="2" l="1"/>
  <c r="DK324" i="2"/>
  <c r="CI324" i="2"/>
  <c r="CK324" i="2"/>
  <c r="CR324" i="2" s="1"/>
  <c r="CS324" i="2" s="1"/>
  <c r="CT324" i="2" s="1"/>
  <c r="CJ324" i="2"/>
  <c r="CY324" i="2"/>
  <c r="BV324" i="2"/>
  <c r="BW324" i="2" s="1"/>
  <c r="BN325" i="2"/>
  <c r="CL324" i="2" l="1"/>
  <c r="CM324" i="2" s="1"/>
  <c r="CV324" i="2"/>
  <c r="CZ324" i="2"/>
  <c r="DA324" i="2"/>
  <c r="EA324" i="2"/>
  <c r="CW324" i="2"/>
  <c r="EB324" i="2"/>
  <c r="DO324" i="2"/>
  <c r="DN324" i="2"/>
  <c r="DL324" i="2"/>
  <c r="DM324" i="2"/>
  <c r="D325" i="2"/>
  <c r="BX324" i="2"/>
  <c r="CD325" i="2"/>
  <c r="B325" i="2" l="1"/>
  <c r="BY324" i="2"/>
  <c r="AD325" i="2"/>
  <c r="DQ324" i="2"/>
  <c r="DR324" i="2"/>
  <c r="DP324" i="2"/>
  <c r="DS324" i="2" s="1"/>
  <c r="CN324" i="2"/>
  <c r="DV324" i="2" l="1"/>
  <c r="DT324" i="2"/>
  <c r="DU324" i="2"/>
  <c r="AF325" i="2"/>
  <c r="AG325" i="2" s="1"/>
  <c r="AI325" i="2" s="1"/>
  <c r="E325" i="2"/>
  <c r="CO324" i="2"/>
  <c r="CX324" i="2"/>
  <c r="DC324" i="2" s="1"/>
  <c r="DB324" i="2"/>
  <c r="AH325" i="2"/>
  <c r="AE325" i="2"/>
  <c r="AL325" i="2"/>
  <c r="AM325" i="2"/>
  <c r="AN326" i="2" l="1"/>
  <c r="AO326" i="2" s="1"/>
  <c r="AJ325" i="2"/>
  <c r="AC325" i="2" s="1"/>
  <c r="AK325" i="2" s="1"/>
  <c r="C326" i="2" s="1"/>
  <c r="AP325" i="2"/>
  <c r="AQ325" i="2" s="1"/>
  <c r="AR325" i="2" s="1"/>
  <c r="AY325" i="2"/>
  <c r="AV325" i="2"/>
  <c r="BC325" i="2"/>
  <c r="BD325" i="2"/>
  <c r="DW324" i="2"/>
  <c r="DX324" i="2" s="1"/>
  <c r="DF324" i="2"/>
  <c r="DE324" i="2"/>
  <c r="DD324" i="2"/>
  <c r="DY324" i="2" l="1"/>
  <c r="DZ324" i="2" s="1"/>
  <c r="G325" i="2"/>
  <c r="AU325" i="2" s="1"/>
  <c r="BM325" i="2"/>
  <c r="BQ325" i="2"/>
  <c r="DG324" i="2"/>
  <c r="AW325" i="2" l="1"/>
  <c r="AX325" i="2" s="1"/>
  <c r="AZ325" i="2" s="1"/>
  <c r="DH324" i="2"/>
  <c r="EC324" i="2"/>
  <c r="ED324" i="2" s="1"/>
  <c r="BE326" i="2" l="1"/>
  <c r="BA325" i="2"/>
  <c r="AT325" i="2" s="1"/>
  <c r="BB325" i="2" s="1"/>
  <c r="F326" i="2" s="1"/>
  <c r="I325" i="2"/>
  <c r="EE324" i="2"/>
  <c r="DI324" i="2"/>
  <c r="DJ324" i="2" s="1"/>
  <c r="L325" i="2" l="1"/>
  <c r="Q325" i="2"/>
  <c r="U325" i="2"/>
  <c r="V325" i="2"/>
  <c r="CB325" i="2"/>
  <c r="CP325" i="2"/>
  <c r="BL325" i="2"/>
  <c r="CF325" i="2"/>
  <c r="BP325" i="2"/>
  <c r="BF325" i="2"/>
  <c r="BG325" i="2" s="1"/>
  <c r="BH325" i="2" s="1"/>
  <c r="BI325" i="2" s="1"/>
  <c r="CC325" i="2" l="1"/>
  <c r="CG325" i="2"/>
  <c r="M325" i="2"/>
  <c r="N325" i="2"/>
  <c r="O325" i="2" l="1"/>
  <c r="P325" i="2" s="1"/>
  <c r="R325" i="2" s="1"/>
  <c r="S325" i="2" l="1"/>
  <c r="K325" i="2" s="1"/>
  <c r="T325" i="2" s="1"/>
  <c r="W325" i="2"/>
  <c r="X325" i="2" s="1"/>
  <c r="Y325" i="2" s="1"/>
  <c r="Z325" i="2" s="1"/>
  <c r="CQ325" i="2" l="1"/>
  <c r="AA325" i="2"/>
  <c r="CA325" i="2" l="1"/>
  <c r="BK325" i="2"/>
  <c r="CE325" i="2"/>
  <c r="BO325" i="2"/>
  <c r="BR325" i="2" l="1"/>
  <c r="CH325" i="2"/>
  <c r="DK325" i="2" l="1"/>
  <c r="BZ326" i="2"/>
  <c r="CJ325" i="2"/>
  <c r="CI325" i="2"/>
  <c r="CK325" i="2"/>
  <c r="CU325" i="2"/>
  <c r="BJ326" i="2"/>
  <c r="BU325" i="2"/>
  <c r="BS325" i="2"/>
  <c r="BT325" i="2"/>
  <c r="CL325" i="2" l="1"/>
  <c r="CM325" i="2" s="1"/>
  <c r="CY325" i="2"/>
  <c r="CD326" i="2"/>
  <c r="BV325" i="2"/>
  <c r="BW325" i="2" s="1"/>
  <c r="BN326" i="2"/>
  <c r="CR325" i="2"/>
  <c r="CS325" i="2" s="1"/>
  <c r="CT325" i="2" s="1"/>
  <c r="DO325" i="2"/>
  <c r="DL325" i="2"/>
  <c r="DM325" i="2"/>
  <c r="DN325" i="2"/>
  <c r="D326" i="2" l="1"/>
  <c r="BX325" i="2"/>
  <c r="DQ325" i="2"/>
  <c r="DP325" i="2"/>
  <c r="DS325" i="2" s="1"/>
  <c r="DR325" i="2"/>
  <c r="CV325" i="2"/>
  <c r="CZ325" i="2"/>
  <c r="CW325" i="2"/>
  <c r="EA325" i="2"/>
  <c r="DA325" i="2"/>
  <c r="EB325" i="2"/>
  <c r="CN325" i="2"/>
  <c r="DU325" i="2" l="1"/>
  <c r="DT325" i="2"/>
  <c r="DV325" i="2"/>
  <c r="B326" i="2"/>
  <c r="BY325" i="2"/>
  <c r="AD326" i="2"/>
  <c r="E326" i="2"/>
  <c r="CO325" i="2"/>
  <c r="AF326" i="2" l="1"/>
  <c r="AG326" i="2" s="1"/>
  <c r="AI326" i="2" s="1"/>
  <c r="CX325" i="2"/>
  <c r="DB325" i="2"/>
  <c r="AY326" i="2"/>
  <c r="AV326" i="2"/>
  <c r="BD326" i="2"/>
  <c r="BC326" i="2"/>
  <c r="AH326" i="2"/>
  <c r="AE326" i="2"/>
  <c r="AM326" i="2"/>
  <c r="AL326" i="2"/>
  <c r="DW325" i="2"/>
  <c r="DX325" i="2" s="1"/>
  <c r="AN327" i="2" l="1"/>
  <c r="AO327" i="2" s="1"/>
  <c r="AJ326" i="2"/>
  <c r="AC326" i="2" s="1"/>
  <c r="AK326" i="2" s="1"/>
  <c r="C327" i="2" s="1"/>
  <c r="AP326" i="2"/>
  <c r="AQ326" i="2" s="1"/>
  <c r="AR326" i="2" s="1"/>
  <c r="DY325" i="2"/>
  <c r="DZ325" i="2" s="1"/>
  <c r="G326" i="2"/>
  <c r="AU326" i="2" s="1"/>
  <c r="DC325" i="2"/>
  <c r="DF325" i="2" l="1"/>
  <c r="DD325" i="2"/>
  <c r="DE325" i="2"/>
  <c r="BM326" i="2"/>
  <c r="BQ326" i="2"/>
  <c r="AW326" i="2"/>
  <c r="AX326" i="2" s="1"/>
  <c r="AZ326" i="2" s="1"/>
  <c r="BE327" i="2" l="1"/>
  <c r="BA326" i="2"/>
  <c r="AT326" i="2" s="1"/>
  <c r="BB326" i="2" s="1"/>
  <c r="F327" i="2" s="1"/>
  <c r="DG325" i="2"/>
  <c r="DH325" i="2" l="1"/>
  <c r="EC325" i="2"/>
  <c r="ED325" i="2" s="1"/>
  <c r="BF326" i="2"/>
  <c r="BG326" i="2" s="1"/>
  <c r="BH326" i="2" s="1"/>
  <c r="BI326" i="2" s="1"/>
  <c r="I326" i="2" l="1"/>
  <c r="EE325" i="2"/>
  <c r="DI325" i="2"/>
  <c r="DJ325" i="2" s="1"/>
  <c r="CC326" i="2"/>
  <c r="CG326" i="2"/>
  <c r="Q326" i="2" l="1"/>
  <c r="U326" i="2"/>
  <c r="V326" i="2"/>
  <c r="L326" i="2"/>
  <c r="BL326" i="2"/>
  <c r="CF326" i="2"/>
  <c r="CP326" i="2"/>
  <c r="BP326" i="2"/>
  <c r="CB326" i="2"/>
  <c r="M326" i="2" l="1"/>
  <c r="N326" i="2"/>
  <c r="O326" i="2" l="1"/>
  <c r="P326" i="2" s="1"/>
  <c r="R326" i="2" s="1"/>
  <c r="S326" i="2" l="1"/>
  <c r="K326" i="2" s="1"/>
  <c r="T326" i="2" s="1"/>
  <c r="W326" i="2"/>
  <c r="X326" i="2" s="1"/>
  <c r="Y326" i="2" s="1"/>
  <c r="Z326" i="2" s="1"/>
  <c r="CQ326" i="2" l="1"/>
  <c r="AA326" i="2"/>
  <c r="BO326" i="2" l="1"/>
  <c r="CA326" i="2"/>
  <c r="CH326" i="2" s="1"/>
  <c r="BK326" i="2"/>
  <c r="BR326" i="2" s="1"/>
  <c r="CE326" i="2"/>
  <c r="CU326" i="2" l="1"/>
  <c r="BJ327" i="2"/>
  <c r="BU326" i="2"/>
  <c r="BS326" i="2"/>
  <c r="BT326" i="2"/>
  <c r="DK326" i="2"/>
  <c r="BZ327" i="2"/>
  <c r="CK326" i="2"/>
  <c r="CI326" i="2"/>
  <c r="CJ326" i="2"/>
  <c r="CL326" i="2" l="1"/>
  <c r="CM326" i="2" s="1"/>
  <c r="CD327" i="2"/>
  <c r="BV326" i="2"/>
  <c r="BW326" i="2" s="1"/>
  <c r="DO326" i="2"/>
  <c r="DN326" i="2"/>
  <c r="DM326" i="2"/>
  <c r="DL326" i="2"/>
  <c r="BN327" i="2"/>
  <c r="CY326" i="2"/>
  <c r="DR326" i="2" l="1"/>
  <c r="DP326" i="2"/>
  <c r="DS326" i="2" s="1"/>
  <c r="DQ326" i="2"/>
  <c r="CN326" i="2"/>
  <c r="BX326" i="2"/>
  <c r="D327" i="2"/>
  <c r="CR326" i="2"/>
  <c r="CS326" i="2" s="1"/>
  <c r="CT326" i="2" s="1"/>
  <c r="DV326" i="2" l="1"/>
  <c r="DT326" i="2"/>
  <c r="DU326" i="2"/>
  <c r="B327" i="2"/>
  <c r="BY326" i="2"/>
  <c r="CV326" i="2"/>
  <c r="CZ326" i="2"/>
  <c r="DA326" i="2"/>
  <c r="EA326" i="2"/>
  <c r="CW326" i="2"/>
  <c r="EB326" i="2"/>
  <c r="E327" i="2"/>
  <c r="CO326" i="2"/>
  <c r="AD327" i="2"/>
  <c r="AF327" i="2" l="1"/>
  <c r="AG327" i="2" s="1"/>
  <c r="AI327" i="2" s="1"/>
  <c r="AE327" i="2"/>
  <c r="AH327" i="2"/>
  <c r="AL327" i="2"/>
  <c r="AM327" i="2"/>
  <c r="AV327" i="2"/>
  <c r="AY327" i="2"/>
  <c r="BC327" i="2"/>
  <c r="BD327" i="2"/>
  <c r="DW326" i="2"/>
  <c r="DX326" i="2" s="1"/>
  <c r="CX326" i="2"/>
  <c r="DC326" i="2" s="1"/>
  <c r="DB326" i="2"/>
  <c r="DF326" i="2" l="1"/>
  <c r="DE326" i="2"/>
  <c r="DD326" i="2"/>
  <c r="AN328" i="2"/>
  <c r="AO328" i="2" s="1"/>
  <c r="AJ327" i="2"/>
  <c r="AC327" i="2" s="1"/>
  <c r="AK327" i="2" s="1"/>
  <c r="C328" i="2" s="1"/>
  <c r="AP327" i="2"/>
  <c r="AQ327" i="2" s="1"/>
  <c r="AR327" i="2" s="1"/>
  <c r="DY326" i="2"/>
  <c r="DZ326" i="2" s="1"/>
  <c r="G327" i="2"/>
  <c r="AU327" i="2" s="1"/>
  <c r="AW327" i="2" l="1"/>
  <c r="AX327" i="2" s="1"/>
  <c r="AZ327" i="2" s="1"/>
  <c r="BM327" i="2"/>
  <c r="BQ327" i="2"/>
  <c r="DG326" i="2"/>
  <c r="BE328" i="2" l="1"/>
  <c r="BA327" i="2"/>
  <c r="AT327" i="2" s="1"/>
  <c r="BB327" i="2" s="1"/>
  <c r="F328" i="2" s="1"/>
  <c r="DH326" i="2"/>
  <c r="EC326" i="2"/>
  <c r="ED326" i="2" s="1"/>
  <c r="I327" i="2" l="1"/>
  <c r="EE326" i="2"/>
  <c r="DI326" i="2"/>
  <c r="DJ326" i="2" s="1"/>
  <c r="BF327" i="2"/>
  <c r="BG327" i="2" s="1"/>
  <c r="BH327" i="2" s="1"/>
  <c r="BI327" i="2" s="1"/>
  <c r="CC327" i="2" l="1"/>
  <c r="CG327" i="2"/>
  <c r="V327" i="2"/>
  <c r="L327" i="2"/>
  <c r="Q327" i="2"/>
  <c r="U327" i="2"/>
  <c r="BP327" i="2"/>
  <c r="CB327" i="2"/>
  <c r="CP327" i="2"/>
  <c r="BL327" i="2"/>
  <c r="CF327" i="2"/>
  <c r="N327" i="2" l="1"/>
  <c r="M327" i="2"/>
  <c r="O327" i="2" l="1"/>
  <c r="P327" i="2" s="1"/>
  <c r="R327" i="2" s="1"/>
  <c r="S327" i="2" l="1"/>
  <c r="K327" i="2" s="1"/>
  <c r="T327" i="2" s="1"/>
  <c r="W327" i="2"/>
  <c r="X327" i="2" s="1"/>
  <c r="Y327" i="2" s="1"/>
  <c r="Z327" i="2" s="1"/>
  <c r="AA327" i="2" l="1"/>
  <c r="CQ327" i="2"/>
  <c r="BK327" i="2" l="1"/>
  <c r="BR327" i="2" s="1"/>
  <c r="CE327" i="2"/>
  <c r="BO327" i="2"/>
  <c r="CA327" i="2"/>
  <c r="BJ328" i="2" l="1"/>
  <c r="CU327" i="2"/>
  <c r="BU327" i="2"/>
  <c r="BS327" i="2"/>
  <c r="BT327" i="2"/>
  <c r="CH327" i="2"/>
  <c r="BV327" i="2" l="1"/>
  <c r="BW327" i="2" s="1"/>
  <c r="BZ328" i="2"/>
  <c r="DK327" i="2"/>
  <c r="CJ327" i="2"/>
  <c r="CI327" i="2"/>
  <c r="CK327" i="2"/>
  <c r="CR327" i="2" s="1"/>
  <c r="CS327" i="2" s="1"/>
  <c r="CT327" i="2" s="1"/>
  <c r="CY327" i="2"/>
  <c r="BN328" i="2"/>
  <c r="DO327" i="2" l="1"/>
  <c r="DN327" i="2"/>
  <c r="DL327" i="2"/>
  <c r="DM327" i="2"/>
  <c r="CV327" i="2"/>
  <c r="CZ327" i="2"/>
  <c r="CW327" i="2"/>
  <c r="EA327" i="2"/>
  <c r="DA327" i="2"/>
  <c r="EB327" i="2"/>
  <c r="CD328" i="2"/>
  <c r="CL327" i="2"/>
  <c r="CM327" i="2" s="1"/>
  <c r="BX327" i="2"/>
  <c r="D328" i="2"/>
  <c r="AD328" i="2" l="1"/>
  <c r="DQ327" i="2"/>
  <c r="DR327" i="2"/>
  <c r="DP327" i="2"/>
  <c r="DS327" i="2" s="1"/>
  <c r="B328" i="2"/>
  <c r="BY327" i="2"/>
  <c r="CN327" i="2"/>
  <c r="DU327" i="2" l="1"/>
  <c r="DV327" i="2"/>
  <c r="DT327" i="2"/>
  <c r="DW327" i="2" s="1"/>
  <c r="DX327" i="2" s="1"/>
  <c r="E328" i="2"/>
  <c r="CO327" i="2"/>
  <c r="AF328" i="2"/>
  <c r="AG328" i="2" s="1"/>
  <c r="AI328" i="2" s="1"/>
  <c r="CX327" i="2"/>
  <c r="DC327" i="2" s="1"/>
  <c r="DB327" i="2"/>
  <c r="AH328" i="2"/>
  <c r="AE328" i="2"/>
  <c r="AL328" i="2"/>
  <c r="AM328" i="2"/>
  <c r="AJ328" i="2" l="1"/>
  <c r="AC328" i="2" s="1"/>
  <c r="AK328" i="2" s="1"/>
  <c r="C329" i="2" s="1"/>
  <c r="AN329" i="2"/>
  <c r="AO329" i="2" s="1"/>
  <c r="AP328" i="2"/>
  <c r="AQ328" i="2" s="1"/>
  <c r="AR328" i="2" s="1"/>
  <c r="AY328" i="2"/>
  <c r="AV328" i="2"/>
  <c r="BC328" i="2"/>
  <c r="BD328" i="2"/>
  <c r="DY327" i="2"/>
  <c r="DZ327" i="2" s="1"/>
  <c r="G328" i="2"/>
  <c r="AU328" i="2" s="1"/>
  <c r="DF327" i="2"/>
  <c r="DD327" i="2"/>
  <c r="DE327" i="2"/>
  <c r="DG327" i="2" l="1"/>
  <c r="BM328" i="2"/>
  <c r="BQ328" i="2"/>
  <c r="AW328" i="2"/>
  <c r="AX328" i="2" s="1"/>
  <c r="AZ328" i="2" s="1"/>
  <c r="BA328" i="2" l="1"/>
  <c r="AT328" i="2" s="1"/>
  <c r="BB328" i="2" s="1"/>
  <c r="F329" i="2" s="1"/>
  <c r="BE329" i="2"/>
  <c r="DH327" i="2"/>
  <c r="EC327" i="2"/>
  <c r="ED327" i="2" s="1"/>
  <c r="I328" i="2" l="1"/>
  <c r="EE327" i="2"/>
  <c r="DI327" i="2"/>
  <c r="DJ327" i="2" s="1"/>
  <c r="BF328" i="2"/>
  <c r="BG328" i="2" s="1"/>
  <c r="BH328" i="2" s="1"/>
  <c r="BI328" i="2" s="1"/>
  <c r="CC328" i="2" l="1"/>
  <c r="CG328" i="2"/>
  <c r="L328" i="2"/>
  <c r="Q328" i="2"/>
  <c r="U328" i="2"/>
  <c r="V328" i="2"/>
  <c r="CP328" i="2"/>
  <c r="CF328" i="2"/>
  <c r="CB328" i="2"/>
  <c r="BP328" i="2"/>
  <c r="BL328" i="2"/>
  <c r="M328" i="2" l="1"/>
  <c r="N328" i="2"/>
  <c r="O328" i="2" l="1"/>
  <c r="P328" i="2" s="1"/>
  <c r="R328" i="2" s="1"/>
  <c r="S328" i="2" l="1"/>
  <c r="K328" i="2" s="1"/>
  <c r="T328" i="2" s="1"/>
  <c r="W328" i="2"/>
  <c r="X328" i="2" s="1"/>
  <c r="Y328" i="2" s="1"/>
  <c r="Z328" i="2" s="1"/>
  <c r="AA328" i="2" l="1"/>
  <c r="CQ328" i="2"/>
  <c r="BK328" i="2" l="1"/>
  <c r="BR328" i="2" s="1"/>
  <c r="CE328" i="2"/>
  <c r="BO328" i="2"/>
  <c r="CA328" i="2"/>
  <c r="BJ329" i="2" l="1"/>
  <c r="CU328" i="2"/>
  <c r="BU328" i="2"/>
  <c r="BT328" i="2"/>
  <c r="BS328" i="2"/>
  <c r="CH328" i="2"/>
  <c r="BV328" i="2" l="1"/>
  <c r="BW328" i="2" s="1"/>
  <c r="BZ329" i="2"/>
  <c r="DK328" i="2"/>
  <c r="CJ328" i="2"/>
  <c r="CI328" i="2"/>
  <c r="CK328" i="2"/>
  <c r="CR328" i="2" s="1"/>
  <c r="CS328" i="2" s="1"/>
  <c r="CT328" i="2" s="1"/>
  <c r="CY328" i="2"/>
  <c r="BN329" i="2"/>
  <c r="DO328" i="2" l="1"/>
  <c r="DN328" i="2"/>
  <c r="DL328" i="2"/>
  <c r="DM328" i="2"/>
  <c r="CV328" i="2"/>
  <c r="CZ328" i="2"/>
  <c r="CW328" i="2"/>
  <c r="EA328" i="2"/>
  <c r="DA328" i="2"/>
  <c r="EB328" i="2"/>
  <c r="CD329" i="2"/>
  <c r="CL328" i="2"/>
  <c r="CM328" i="2" s="1"/>
  <c r="D329" i="2"/>
  <c r="BX328" i="2"/>
  <c r="B329" i="2" l="1"/>
  <c r="BY328" i="2"/>
  <c r="DQ328" i="2"/>
  <c r="DR328" i="2"/>
  <c r="DP328" i="2"/>
  <c r="DS328" i="2" s="1"/>
  <c r="AD329" i="2"/>
  <c r="CN328" i="2"/>
  <c r="DV328" i="2" l="1"/>
  <c r="DT328" i="2"/>
  <c r="DW328" i="2" s="1"/>
  <c r="DX328" i="2" s="1"/>
  <c r="DU328" i="2"/>
  <c r="E329" i="2"/>
  <c r="CO328" i="2"/>
  <c r="CX328" i="2"/>
  <c r="DC328" i="2" s="1"/>
  <c r="DB328" i="2"/>
  <c r="AH329" i="2"/>
  <c r="AE329" i="2"/>
  <c r="AL329" i="2"/>
  <c r="AM329" i="2"/>
  <c r="AF329" i="2"/>
  <c r="AG329" i="2" s="1"/>
  <c r="AI329" i="2" s="1"/>
  <c r="AN330" i="2" l="1"/>
  <c r="AO330" i="2" s="1"/>
  <c r="AJ329" i="2"/>
  <c r="AC329" i="2" s="1"/>
  <c r="AK329" i="2" s="1"/>
  <c r="C330" i="2" s="1"/>
  <c r="AP329" i="2"/>
  <c r="AQ329" i="2" s="1"/>
  <c r="AR329" i="2" s="1"/>
  <c r="AY329" i="2"/>
  <c r="AV329" i="2"/>
  <c r="BC329" i="2"/>
  <c r="BD329" i="2"/>
  <c r="DF328" i="2"/>
  <c r="DG328" i="2" s="1"/>
  <c r="DH328" i="2" s="1"/>
  <c r="DD328" i="2"/>
  <c r="DE328" i="2"/>
  <c r="DY328" i="2"/>
  <c r="DZ328" i="2" s="1"/>
  <c r="G329" i="2"/>
  <c r="AU329" i="2" s="1"/>
  <c r="DI328" i="2" l="1"/>
  <c r="DJ328" i="2" s="1"/>
  <c r="BM329" i="2"/>
  <c r="BQ329" i="2"/>
  <c r="AW329" i="2"/>
  <c r="AX329" i="2" s="1"/>
  <c r="AZ329" i="2" s="1"/>
  <c r="EC328" i="2"/>
  <c r="ED328" i="2" s="1"/>
  <c r="BE330" i="2" l="1"/>
  <c r="BA329" i="2"/>
  <c r="AT329" i="2" s="1"/>
  <c r="BB329" i="2" s="1"/>
  <c r="F330" i="2" s="1"/>
  <c r="I329" i="2"/>
  <c r="EE328" i="2"/>
  <c r="L329" i="2" l="1"/>
  <c r="Q329" i="2"/>
  <c r="U329" i="2"/>
  <c r="V329" i="2"/>
  <c r="BP329" i="2"/>
  <c r="CP329" i="2"/>
  <c r="BL329" i="2"/>
  <c r="CF329" i="2"/>
  <c r="CB329" i="2"/>
  <c r="BF329" i="2"/>
  <c r="BG329" i="2" s="1"/>
  <c r="BH329" i="2" s="1"/>
  <c r="BI329" i="2" s="1"/>
  <c r="CC329" i="2" l="1"/>
  <c r="CG329" i="2"/>
  <c r="M329" i="2"/>
  <c r="N329" i="2"/>
  <c r="O329" i="2" l="1"/>
  <c r="P329" i="2" s="1"/>
  <c r="R329" i="2" s="1"/>
  <c r="S329" i="2" l="1"/>
  <c r="K329" i="2" s="1"/>
  <c r="T329" i="2" s="1"/>
  <c r="W329" i="2"/>
  <c r="X329" i="2" s="1"/>
  <c r="Y329" i="2"/>
  <c r="Z329" i="2" s="1"/>
  <c r="CQ329" i="2" l="1"/>
  <c r="AA329" i="2"/>
  <c r="CA329" i="2" l="1"/>
  <c r="BK329" i="2"/>
  <c r="BR329" i="2" s="1"/>
  <c r="CE329" i="2"/>
  <c r="BO329" i="2"/>
  <c r="CU329" i="2" l="1"/>
  <c r="BJ330" i="2"/>
  <c r="BU329" i="2"/>
  <c r="BV329" i="2" s="1"/>
  <c r="BW329" i="2" s="1"/>
  <c r="BS329" i="2"/>
  <c r="BT329" i="2"/>
  <c r="CH329" i="2"/>
  <c r="D330" i="2" l="1"/>
  <c r="BX329" i="2"/>
  <c r="DK329" i="2"/>
  <c r="BZ330" i="2"/>
  <c r="CJ329" i="2"/>
  <c r="CI329" i="2"/>
  <c r="CK329" i="2"/>
  <c r="CR329" i="2" s="1"/>
  <c r="CS329" i="2" s="1"/>
  <c r="CT329" i="2" s="1"/>
  <c r="BN330" i="2"/>
  <c r="CY329" i="2"/>
  <c r="CL329" i="2" l="1"/>
  <c r="CM329" i="2" s="1"/>
  <c r="CD330" i="2"/>
  <c r="CV329" i="2"/>
  <c r="CZ329" i="2"/>
  <c r="CW329" i="2"/>
  <c r="EA329" i="2"/>
  <c r="DA329" i="2"/>
  <c r="EB329" i="2"/>
  <c r="DO329" i="2"/>
  <c r="DM329" i="2"/>
  <c r="DL329" i="2"/>
  <c r="DN329" i="2"/>
  <c r="B330" i="2"/>
  <c r="BY329" i="2"/>
  <c r="AD330" i="2"/>
  <c r="AF330" i="2" l="1"/>
  <c r="AG330" i="2" s="1"/>
  <c r="AI330" i="2" s="1"/>
  <c r="DP329" i="2"/>
  <c r="DS329" i="2" s="1"/>
  <c r="DQ329" i="2"/>
  <c r="DR329" i="2"/>
  <c r="CX329" i="2"/>
  <c r="AH330" i="2"/>
  <c r="AE330" i="2"/>
  <c r="AL330" i="2"/>
  <c r="AM330" i="2"/>
  <c r="DB329" i="2"/>
  <c r="DC329" i="2" s="1"/>
  <c r="CN329" i="2"/>
  <c r="DU329" i="2" l="1"/>
  <c r="DT329" i="2"/>
  <c r="DV329" i="2"/>
  <c r="DF329" i="2"/>
  <c r="DD329" i="2"/>
  <c r="DE329" i="2"/>
  <c r="AN331" i="2"/>
  <c r="AO331" i="2" s="1"/>
  <c r="AJ330" i="2"/>
  <c r="AC330" i="2" s="1"/>
  <c r="AK330" i="2" s="1"/>
  <c r="C331" i="2" s="1"/>
  <c r="AP330" i="2"/>
  <c r="AQ330" i="2" s="1"/>
  <c r="AR330" i="2" s="1"/>
  <c r="E330" i="2"/>
  <c r="CO329" i="2"/>
  <c r="DG329" i="2" l="1"/>
  <c r="DH329" i="2" s="1"/>
  <c r="AY330" i="2"/>
  <c r="AV330" i="2"/>
  <c r="BC330" i="2"/>
  <c r="BD330" i="2"/>
  <c r="DW329" i="2"/>
  <c r="DX329" i="2" s="1"/>
  <c r="BM330" i="2"/>
  <c r="BQ330" i="2"/>
  <c r="DI329" i="2" l="1"/>
  <c r="DJ329" i="2" s="1"/>
  <c r="DY329" i="2"/>
  <c r="DZ329" i="2" s="1"/>
  <c r="G330" i="2"/>
  <c r="AU330" i="2" s="1"/>
  <c r="EC329" i="2"/>
  <c r="ED329" i="2" s="1"/>
  <c r="I330" i="2" l="1"/>
  <c r="EE329" i="2"/>
  <c r="AW330" i="2"/>
  <c r="AX330" i="2" s="1"/>
  <c r="AZ330" i="2" s="1"/>
  <c r="BE331" i="2" l="1"/>
  <c r="BA330" i="2"/>
  <c r="AT330" i="2" s="1"/>
  <c r="BB330" i="2" s="1"/>
  <c r="F331" i="2" s="1"/>
  <c r="Q330" i="2"/>
  <c r="U330" i="2"/>
  <c r="V330" i="2"/>
  <c r="L330" i="2"/>
  <c r="CF330" i="2"/>
  <c r="CB330" i="2"/>
  <c r="BL330" i="2"/>
  <c r="CP330" i="2"/>
  <c r="BP330" i="2"/>
  <c r="M330" i="2" l="1"/>
  <c r="N330" i="2"/>
  <c r="BF330" i="2"/>
  <c r="BG330" i="2" s="1"/>
  <c r="BH330" i="2" s="1"/>
  <c r="BI330" i="2" s="1"/>
  <c r="O330" i="2" l="1"/>
  <c r="P330" i="2" s="1"/>
  <c r="R330" i="2" s="1"/>
  <c r="CC330" i="2"/>
  <c r="CG330" i="2"/>
  <c r="S330" i="2" l="1"/>
  <c r="K330" i="2" s="1"/>
  <c r="T330" i="2" s="1"/>
  <c r="W330" i="2"/>
  <c r="X330" i="2" s="1"/>
  <c r="Y330" i="2" s="1"/>
  <c r="Z330" i="2" s="1"/>
  <c r="CQ330" i="2" l="1"/>
  <c r="AA330" i="2"/>
  <c r="CA330" i="2" l="1"/>
  <c r="BK330" i="2"/>
  <c r="BR330" i="2" s="1"/>
  <c r="CE330" i="2"/>
  <c r="BO330" i="2"/>
  <c r="CU330" i="2" l="1"/>
  <c r="BJ331" i="2"/>
  <c r="BU330" i="2"/>
  <c r="BS330" i="2"/>
  <c r="BT330" i="2"/>
  <c r="CH330" i="2"/>
  <c r="BV330" i="2" l="1"/>
  <c r="BW330" i="2" s="1"/>
  <c r="DK330" i="2"/>
  <c r="BZ331" i="2"/>
  <c r="CJ330" i="2"/>
  <c r="CI330" i="2"/>
  <c r="CK330" i="2"/>
  <c r="CR330" i="2" s="1"/>
  <c r="CS330" i="2" s="1"/>
  <c r="CT330" i="2" s="1"/>
  <c r="BN331" i="2"/>
  <c r="CY330" i="2"/>
  <c r="CD331" i="2" l="1"/>
  <c r="CV330" i="2"/>
  <c r="CZ330" i="2"/>
  <c r="EA330" i="2"/>
  <c r="DA330" i="2"/>
  <c r="CW330" i="2"/>
  <c r="EB330" i="2"/>
  <c r="DO330" i="2"/>
  <c r="DM330" i="2"/>
  <c r="DL330" i="2"/>
  <c r="DN330" i="2"/>
  <c r="CL330" i="2"/>
  <c r="CM330" i="2" s="1"/>
  <c r="BX330" i="2"/>
  <c r="D331" i="2"/>
  <c r="DP330" i="2" l="1"/>
  <c r="DS330" i="2" s="1"/>
  <c r="DQ330" i="2"/>
  <c r="DR330" i="2"/>
  <c r="B331" i="2"/>
  <c r="AD331" i="2" s="1"/>
  <c r="BY330" i="2"/>
  <c r="CN330" i="2"/>
  <c r="AF331" i="2" l="1"/>
  <c r="AG331" i="2" s="1"/>
  <c r="AI331" i="2" s="1"/>
  <c r="DT330" i="2"/>
  <c r="DU330" i="2"/>
  <c r="DV330" i="2"/>
  <c r="E331" i="2"/>
  <c r="CO330" i="2"/>
  <c r="CX330" i="2"/>
  <c r="DB330" i="2"/>
  <c r="AH331" i="2"/>
  <c r="AE331" i="2"/>
  <c r="AL331" i="2"/>
  <c r="AM331" i="2"/>
  <c r="AJ331" i="2" l="1"/>
  <c r="AC331" i="2" s="1"/>
  <c r="AK331" i="2" s="1"/>
  <c r="C332" i="2" s="1"/>
  <c r="AN332" i="2"/>
  <c r="AO332" i="2" s="1"/>
  <c r="AP331" i="2"/>
  <c r="AQ331" i="2" s="1"/>
  <c r="AR331" i="2" s="1"/>
  <c r="DW330" i="2"/>
  <c r="DX330" i="2" s="1"/>
  <c r="AY331" i="2"/>
  <c r="AV331" i="2"/>
  <c r="BC331" i="2"/>
  <c r="BD331" i="2"/>
  <c r="DC330" i="2"/>
  <c r="DY330" i="2" l="1"/>
  <c r="DZ330" i="2" s="1"/>
  <c r="G331" i="2"/>
  <c r="AU331" i="2" s="1"/>
  <c r="BM331" i="2"/>
  <c r="BQ331" i="2"/>
  <c r="DF330" i="2"/>
  <c r="DD330" i="2"/>
  <c r="DE330" i="2"/>
  <c r="DG330" i="2" l="1"/>
  <c r="AW331" i="2"/>
  <c r="AX331" i="2" s="1"/>
  <c r="AZ331" i="2" s="1"/>
  <c r="BA331" i="2" l="1"/>
  <c r="AT331" i="2" s="1"/>
  <c r="BB331" i="2" s="1"/>
  <c r="F332" i="2" s="1"/>
  <c r="BE332" i="2"/>
  <c r="DH330" i="2"/>
  <c r="EC330" i="2"/>
  <c r="ED330" i="2" s="1"/>
  <c r="I331" i="2" l="1"/>
  <c r="EE330" i="2"/>
  <c r="DI330" i="2"/>
  <c r="DJ330" i="2" s="1"/>
  <c r="BF331" i="2"/>
  <c r="BG331" i="2" s="1"/>
  <c r="BH331" i="2" s="1"/>
  <c r="BI331" i="2" s="1"/>
  <c r="CC331" i="2" l="1"/>
  <c r="CG331" i="2"/>
  <c r="V331" i="2"/>
  <c r="L331" i="2"/>
  <c r="Q331" i="2"/>
  <c r="U331" i="2"/>
  <c r="CB331" i="2"/>
  <c r="CF331" i="2"/>
  <c r="CP331" i="2"/>
  <c r="BL331" i="2"/>
  <c r="BP331" i="2"/>
  <c r="N331" i="2" l="1"/>
  <c r="M331" i="2"/>
  <c r="O331" i="2" l="1"/>
  <c r="P331" i="2" s="1"/>
  <c r="R331" i="2" s="1"/>
  <c r="S331" i="2" l="1"/>
  <c r="K331" i="2" s="1"/>
  <c r="T331" i="2" s="1"/>
  <c r="W331" i="2"/>
  <c r="X331" i="2" s="1"/>
  <c r="Y331" i="2" s="1"/>
  <c r="Z331" i="2" s="1"/>
  <c r="AA331" i="2" l="1"/>
  <c r="CQ331" i="2"/>
  <c r="BK331" i="2" l="1"/>
  <c r="CE331" i="2"/>
  <c r="BO331" i="2"/>
  <c r="CA331" i="2"/>
  <c r="BR331" i="2" l="1"/>
  <c r="CH331" i="2"/>
  <c r="BZ332" i="2" l="1"/>
  <c r="DK331" i="2"/>
  <c r="CJ331" i="2"/>
  <c r="CI331" i="2"/>
  <c r="CK331" i="2"/>
  <c r="BJ332" i="2"/>
  <c r="CU331" i="2"/>
  <c r="BU331" i="2"/>
  <c r="BS331" i="2"/>
  <c r="BT331" i="2"/>
  <c r="CL331" i="2" l="1"/>
  <c r="CM331" i="2" s="1"/>
  <c r="BN332" i="2"/>
  <c r="DO331" i="2"/>
  <c r="DM331" i="2"/>
  <c r="DL331" i="2"/>
  <c r="DN331" i="2"/>
  <c r="BV331" i="2"/>
  <c r="BW331" i="2" s="1"/>
  <c r="CY331" i="2"/>
  <c r="CR331" i="2"/>
  <c r="CS331" i="2" s="1"/>
  <c r="CT331" i="2" s="1"/>
  <c r="CD332" i="2"/>
  <c r="D332" i="2" l="1"/>
  <c r="BX331" i="2"/>
  <c r="DR331" i="2"/>
  <c r="DQ331" i="2"/>
  <c r="DP331" i="2"/>
  <c r="DS331" i="2" s="1"/>
  <c r="CZ331" i="2"/>
  <c r="CV331" i="2"/>
  <c r="CW331" i="2"/>
  <c r="DA331" i="2"/>
  <c r="EA331" i="2"/>
  <c r="EB331" i="2"/>
  <c r="CN331" i="2"/>
  <c r="DT331" i="2" l="1"/>
  <c r="DV331" i="2"/>
  <c r="DU331" i="2"/>
  <c r="B332" i="2"/>
  <c r="BY331" i="2"/>
  <c r="AD332" i="2"/>
  <c r="E332" i="2"/>
  <c r="CO331" i="2"/>
  <c r="AH332" i="2" l="1"/>
  <c r="AE332" i="2"/>
  <c r="AL332" i="2"/>
  <c r="AM332" i="2"/>
  <c r="AF332" i="2"/>
  <c r="AG332" i="2" s="1"/>
  <c r="AI332" i="2" s="1"/>
  <c r="AY332" i="2"/>
  <c r="AV332" i="2"/>
  <c r="BC332" i="2"/>
  <c r="BD332" i="2"/>
  <c r="CX331" i="2"/>
  <c r="DB331" i="2"/>
  <c r="DW331" i="2"/>
  <c r="DX331" i="2" s="1"/>
  <c r="AN333" i="2" l="1"/>
  <c r="AO333" i="2" s="1"/>
  <c r="AJ332" i="2"/>
  <c r="AC332" i="2" s="1"/>
  <c r="AK332" i="2" s="1"/>
  <c r="C333" i="2" s="1"/>
  <c r="AP332" i="2"/>
  <c r="AQ332" i="2" s="1"/>
  <c r="AR332" i="2" s="1"/>
  <c r="DY331" i="2"/>
  <c r="DZ331" i="2" s="1"/>
  <c r="G332" i="2"/>
  <c r="AU332" i="2" s="1"/>
  <c r="DC331" i="2"/>
  <c r="DF331" i="2" l="1"/>
  <c r="DE331" i="2"/>
  <c r="DD331" i="2"/>
  <c r="BQ332" i="2"/>
  <c r="BM332" i="2"/>
  <c r="AW332" i="2"/>
  <c r="AX332" i="2" s="1"/>
  <c r="AZ332" i="2" s="1"/>
  <c r="BE333" i="2" l="1"/>
  <c r="BA332" i="2"/>
  <c r="AT332" i="2" s="1"/>
  <c r="BB332" i="2" s="1"/>
  <c r="F333" i="2" s="1"/>
  <c r="DG331" i="2"/>
  <c r="DH331" i="2" l="1"/>
  <c r="EC331" i="2"/>
  <c r="ED331" i="2" s="1"/>
  <c r="BF332" i="2"/>
  <c r="BG332" i="2" s="1"/>
  <c r="BH332" i="2" s="1"/>
  <c r="BI332" i="2" s="1"/>
  <c r="DI331" i="2" l="1"/>
  <c r="DJ331" i="2" s="1"/>
  <c r="CG332" i="2"/>
  <c r="CC332" i="2"/>
  <c r="I332" i="2"/>
  <c r="EE331" i="2"/>
  <c r="L332" i="2" l="1"/>
  <c r="Q332" i="2"/>
  <c r="U332" i="2"/>
  <c r="V332" i="2"/>
  <c r="BL332" i="2"/>
  <c r="CF332" i="2"/>
  <c r="BP332" i="2"/>
  <c r="CP332" i="2"/>
  <c r="CB332" i="2"/>
  <c r="M332" i="2" l="1"/>
  <c r="N332" i="2"/>
  <c r="O332" i="2" l="1"/>
  <c r="P332" i="2" s="1"/>
  <c r="R332" i="2" s="1"/>
  <c r="S332" i="2" l="1"/>
  <c r="K332" i="2" s="1"/>
  <c r="T332" i="2" s="1"/>
  <c r="W332" i="2"/>
  <c r="X332" i="2" s="1"/>
  <c r="Y332" i="2" s="1"/>
  <c r="Z332" i="2" s="1"/>
  <c r="CQ332" i="2" l="1"/>
  <c r="AA332" i="2"/>
  <c r="BO332" i="2" l="1"/>
  <c r="CA332" i="2"/>
  <c r="CH332" i="2" s="1"/>
  <c r="BK332" i="2"/>
  <c r="BR332" i="2" s="1"/>
  <c r="CE332" i="2"/>
  <c r="CU332" i="2" l="1"/>
  <c r="BJ333" i="2"/>
  <c r="BU332" i="2"/>
  <c r="BT332" i="2"/>
  <c r="BS332" i="2"/>
  <c r="DK332" i="2"/>
  <c r="BZ333" i="2"/>
  <c r="CK332" i="2"/>
  <c r="CI332" i="2"/>
  <c r="CJ332" i="2"/>
  <c r="CD333" i="2" l="1"/>
  <c r="BV332" i="2"/>
  <c r="BW332" i="2" s="1"/>
  <c r="DO332" i="2"/>
  <c r="DN332" i="2"/>
  <c r="DM332" i="2"/>
  <c r="DL332" i="2"/>
  <c r="BN333" i="2"/>
  <c r="CR332" i="2"/>
  <c r="CS332" i="2" s="1"/>
  <c r="CT332" i="2" s="1"/>
  <c r="CL332" i="2"/>
  <c r="CM332" i="2" s="1"/>
  <c r="CY332" i="2"/>
  <c r="DS332" i="2" l="1"/>
  <c r="DR332" i="2"/>
  <c r="DP332" i="2"/>
  <c r="DQ332" i="2"/>
  <c r="CV332" i="2"/>
  <c r="CZ332" i="2"/>
  <c r="EA332" i="2"/>
  <c r="CW332" i="2"/>
  <c r="DA332" i="2"/>
  <c r="EB332" i="2"/>
  <c r="BX332" i="2"/>
  <c r="D333" i="2"/>
  <c r="CN332" i="2"/>
  <c r="B333" i="2" l="1"/>
  <c r="BY332" i="2"/>
  <c r="E333" i="2"/>
  <c r="CO332" i="2"/>
  <c r="AD333" i="2"/>
  <c r="DV332" i="2"/>
  <c r="DT332" i="2"/>
  <c r="DU332" i="2"/>
  <c r="AF333" i="2" l="1"/>
  <c r="AG333" i="2" s="1"/>
  <c r="AI333" i="2" s="1"/>
  <c r="DW332" i="2"/>
  <c r="DX332" i="2" s="1"/>
  <c r="CX332" i="2"/>
  <c r="DC332" i="2" s="1"/>
  <c r="DB332" i="2"/>
  <c r="AV333" i="2"/>
  <c r="AY333" i="2"/>
  <c r="BD333" i="2"/>
  <c r="BC333" i="2"/>
  <c r="AE333" i="2"/>
  <c r="AH333" i="2"/>
  <c r="AL333" i="2"/>
  <c r="AM333" i="2"/>
  <c r="AN334" i="2" l="1"/>
  <c r="AO334" i="2" s="1"/>
  <c r="AJ333" i="2"/>
  <c r="AC333" i="2" s="1"/>
  <c r="AK333" i="2" s="1"/>
  <c r="C334" i="2" s="1"/>
  <c r="AP333" i="2"/>
  <c r="AQ333" i="2" s="1"/>
  <c r="AR333" i="2" s="1"/>
  <c r="DY332" i="2"/>
  <c r="DZ332" i="2" s="1"/>
  <c r="G333" i="2"/>
  <c r="AU333" i="2" s="1"/>
  <c r="DF332" i="2"/>
  <c r="DG332" i="2" s="1"/>
  <c r="DE332" i="2"/>
  <c r="DD332" i="2"/>
  <c r="DH332" i="2" l="1"/>
  <c r="EC332" i="2"/>
  <c r="ED332" i="2" s="1"/>
  <c r="BM333" i="2"/>
  <c r="BQ333" i="2"/>
  <c r="AW333" i="2"/>
  <c r="AX333" i="2" s="1"/>
  <c r="AZ333" i="2" s="1"/>
  <c r="BE334" i="2" l="1"/>
  <c r="BA333" i="2"/>
  <c r="AT333" i="2" s="1"/>
  <c r="BB333" i="2" s="1"/>
  <c r="F334" i="2" s="1"/>
  <c r="EE332" i="2"/>
  <c r="I333" i="2"/>
  <c r="DI332" i="2"/>
  <c r="DJ332" i="2" s="1"/>
  <c r="V333" i="2" l="1"/>
  <c r="L333" i="2"/>
  <c r="U333" i="2"/>
  <c r="Q333" i="2"/>
  <c r="CB333" i="2"/>
  <c r="BL333" i="2"/>
  <c r="CF333" i="2"/>
  <c r="CP333" i="2"/>
  <c r="BP333" i="2"/>
  <c r="BF333" i="2"/>
  <c r="BG333" i="2" s="1"/>
  <c r="BH333" i="2" s="1"/>
  <c r="BI333" i="2" s="1"/>
  <c r="CC333" i="2" l="1"/>
  <c r="CG333" i="2"/>
  <c r="N333" i="2"/>
  <c r="M333" i="2"/>
  <c r="O333" i="2" l="1"/>
  <c r="P333" i="2" s="1"/>
  <c r="R333" i="2" s="1"/>
  <c r="S333" i="2" l="1"/>
  <c r="K333" i="2" s="1"/>
  <c r="T333" i="2" s="1"/>
  <c r="W333" i="2"/>
  <c r="X333" i="2" s="1"/>
  <c r="Y333" i="2" s="1"/>
  <c r="Z333" i="2" s="1"/>
  <c r="AA333" i="2" l="1"/>
  <c r="CQ333" i="2"/>
  <c r="CA333" i="2" l="1"/>
  <c r="CH333" i="2" s="1"/>
  <c r="BO333" i="2"/>
  <c r="BK333" i="2"/>
  <c r="BR333" i="2" s="1"/>
  <c r="CE333" i="2"/>
  <c r="BZ334" i="2" l="1"/>
  <c r="DK333" i="2"/>
  <c r="CJ333" i="2"/>
  <c r="CI333" i="2"/>
  <c r="CK333" i="2"/>
  <c r="BJ334" i="2"/>
  <c r="CU333" i="2"/>
  <c r="BU333" i="2"/>
  <c r="BS333" i="2"/>
  <c r="BT333" i="2"/>
  <c r="CL333" i="2" l="1"/>
  <c r="CM333" i="2" s="1"/>
  <c r="BN334" i="2"/>
  <c r="DO333" i="2"/>
  <c r="DL333" i="2"/>
  <c r="DM333" i="2"/>
  <c r="DN333" i="2"/>
  <c r="BV333" i="2"/>
  <c r="BW333" i="2" s="1"/>
  <c r="CY333" i="2"/>
  <c r="CR333" i="2"/>
  <c r="CS333" i="2" s="1"/>
  <c r="CT333" i="2" s="1"/>
  <c r="CD334" i="2"/>
  <c r="DP333" i="2" l="1"/>
  <c r="DS333" i="2" s="1"/>
  <c r="DQ333" i="2"/>
  <c r="DR333" i="2"/>
  <c r="CV333" i="2"/>
  <c r="CZ333" i="2"/>
  <c r="EA333" i="2"/>
  <c r="DA333" i="2"/>
  <c r="CW333" i="2"/>
  <c r="EB333" i="2"/>
  <c r="BX333" i="2"/>
  <c r="D334" i="2"/>
  <c r="CN333" i="2"/>
  <c r="DU333" i="2" l="1"/>
  <c r="DT333" i="2"/>
  <c r="DV333" i="2"/>
  <c r="E334" i="2"/>
  <c r="CO333" i="2"/>
  <c r="B334" i="2"/>
  <c r="AD334" i="2" s="1"/>
  <c r="BY333" i="2"/>
  <c r="AF334" i="2" l="1"/>
  <c r="AG334" i="2" s="1"/>
  <c r="AI334" i="2" s="1"/>
  <c r="AY334" i="2"/>
  <c r="AV334" i="2"/>
  <c r="BC334" i="2"/>
  <c r="BD334" i="2"/>
  <c r="AH334" i="2"/>
  <c r="AE334" i="2"/>
  <c r="AM334" i="2"/>
  <c r="AL334" i="2"/>
  <c r="CX333" i="2"/>
  <c r="DC333" i="2" s="1"/>
  <c r="DB333" i="2"/>
  <c r="DW333" i="2"/>
  <c r="DX333" i="2" s="1"/>
  <c r="AJ334" i="2" l="1"/>
  <c r="AC334" i="2" s="1"/>
  <c r="AK334" i="2" s="1"/>
  <c r="C335" i="2" s="1"/>
  <c r="AN335" i="2"/>
  <c r="AO335" i="2" s="1"/>
  <c r="AP334" i="2"/>
  <c r="AQ334" i="2" s="1"/>
  <c r="AR334" i="2" s="1"/>
  <c r="DF333" i="2"/>
  <c r="DE333" i="2"/>
  <c r="DD333" i="2"/>
  <c r="DY333" i="2"/>
  <c r="DZ333" i="2" s="1"/>
  <c r="G334" i="2"/>
  <c r="AU334" i="2" s="1"/>
  <c r="AW334" i="2" l="1"/>
  <c r="AX334" i="2" s="1"/>
  <c r="AZ334" i="2" s="1"/>
  <c r="DG333" i="2"/>
  <c r="BM334" i="2"/>
  <c r="BQ334" i="2"/>
  <c r="BA334" i="2" l="1"/>
  <c r="AT334" i="2" s="1"/>
  <c r="BB334" i="2" s="1"/>
  <c r="F335" i="2" s="1"/>
  <c r="BE335" i="2"/>
  <c r="DH333" i="2"/>
  <c r="EC333" i="2"/>
  <c r="ED333" i="2" s="1"/>
  <c r="I334" i="2" l="1"/>
  <c r="EE333" i="2"/>
  <c r="DI333" i="2"/>
  <c r="DJ333" i="2" s="1"/>
  <c r="BF334" i="2"/>
  <c r="BG334" i="2" s="1"/>
  <c r="BH334" i="2" s="1"/>
  <c r="BI334" i="2" s="1"/>
  <c r="CC334" i="2" l="1"/>
  <c r="CG334" i="2"/>
  <c r="L334" i="2"/>
  <c r="Q334" i="2"/>
  <c r="U334" i="2"/>
  <c r="V334" i="2"/>
  <c r="CP334" i="2"/>
  <c r="CF334" i="2"/>
  <c r="CB334" i="2"/>
  <c r="BP334" i="2"/>
  <c r="BL334" i="2"/>
  <c r="M334" i="2" l="1"/>
  <c r="N334" i="2"/>
  <c r="R334" i="2" l="1"/>
  <c r="O334" i="2"/>
  <c r="P334" i="2" s="1"/>
  <c r="S334" i="2" l="1"/>
  <c r="K334" i="2" s="1"/>
  <c r="T334" i="2" s="1"/>
  <c r="W334" i="2"/>
  <c r="X334" i="2" s="1"/>
  <c r="Y334" i="2"/>
  <c r="Z334" i="2" s="1"/>
  <c r="AA334" i="2" l="1"/>
  <c r="CQ334" i="2"/>
  <c r="CE334" i="2" l="1"/>
  <c r="BK334" i="2"/>
  <c r="BR334" i="2" s="1"/>
  <c r="CA334" i="2"/>
  <c r="CH334" i="2" s="1"/>
  <c r="BO334" i="2"/>
  <c r="BJ335" i="2" l="1"/>
  <c r="CU334" i="2"/>
  <c r="BU334" i="2"/>
  <c r="BS334" i="2"/>
  <c r="BT334" i="2"/>
  <c r="BZ335" i="2"/>
  <c r="DK334" i="2"/>
  <c r="CJ334" i="2"/>
  <c r="CK334" i="2"/>
  <c r="CI334" i="2"/>
  <c r="DO334" i="2" l="1"/>
  <c r="DN334" i="2"/>
  <c r="DM334" i="2"/>
  <c r="DL334" i="2"/>
  <c r="BV334" i="2"/>
  <c r="BW334" i="2" s="1"/>
  <c r="CR334" i="2"/>
  <c r="CS334" i="2" s="1"/>
  <c r="CT334" i="2" s="1"/>
  <c r="CL334" i="2"/>
  <c r="CM334" i="2" s="1"/>
  <c r="CD335" i="2"/>
  <c r="CY334" i="2"/>
  <c r="BN335" i="2"/>
  <c r="CN334" i="2" l="1"/>
  <c r="D335" i="2"/>
  <c r="BX334" i="2"/>
  <c r="CV334" i="2"/>
  <c r="CZ334" i="2"/>
  <c r="DA334" i="2"/>
  <c r="CW334" i="2"/>
  <c r="EA334" i="2"/>
  <c r="EB334" i="2"/>
  <c r="DQ334" i="2"/>
  <c r="DR334" i="2"/>
  <c r="DP334" i="2"/>
  <c r="DS334" i="2" s="1"/>
  <c r="DV334" i="2" l="1"/>
  <c r="DT334" i="2"/>
  <c r="DU334" i="2"/>
  <c r="B335" i="2"/>
  <c r="BY334" i="2"/>
  <c r="E335" i="2"/>
  <c r="CO334" i="2"/>
  <c r="AD335" i="2"/>
  <c r="CX334" i="2" l="1"/>
  <c r="DB334" i="2"/>
  <c r="AY335" i="2"/>
  <c r="AV335" i="2"/>
  <c r="BD335" i="2"/>
  <c r="BC335" i="2"/>
  <c r="AF335" i="2"/>
  <c r="AG335" i="2" s="1"/>
  <c r="AH335" i="2"/>
  <c r="AI335" i="2" s="1"/>
  <c r="AE335" i="2"/>
  <c r="AL335" i="2"/>
  <c r="AM335" i="2"/>
  <c r="DW334" i="2"/>
  <c r="DX334" i="2" s="1"/>
  <c r="AN336" i="2" l="1"/>
  <c r="AO336" i="2" s="1"/>
  <c r="AJ335" i="2"/>
  <c r="AC335" i="2" s="1"/>
  <c r="AK335" i="2" s="1"/>
  <c r="C336" i="2" s="1"/>
  <c r="AP335" i="2"/>
  <c r="AQ335" i="2" s="1"/>
  <c r="AR335" i="2" s="1"/>
  <c r="DY334" i="2"/>
  <c r="DZ334" i="2" s="1"/>
  <c r="G335" i="2"/>
  <c r="AU335" i="2" s="1"/>
  <c r="DC334" i="2"/>
  <c r="DF334" i="2" l="1"/>
  <c r="DE334" i="2"/>
  <c r="DD334" i="2"/>
  <c r="BM335" i="2"/>
  <c r="BQ335" i="2"/>
  <c r="AW335" i="2"/>
  <c r="AX335" i="2" s="1"/>
  <c r="AZ335" i="2" s="1"/>
  <c r="BE336" i="2" l="1"/>
  <c r="BA335" i="2"/>
  <c r="AT335" i="2" s="1"/>
  <c r="BB335" i="2" s="1"/>
  <c r="F336" i="2" s="1"/>
  <c r="DG334" i="2"/>
  <c r="DH334" i="2" l="1"/>
  <c r="EC334" i="2"/>
  <c r="ED334" i="2" s="1"/>
  <c r="BF335" i="2"/>
  <c r="BG335" i="2" s="1"/>
  <c r="BH335" i="2" s="1"/>
  <c r="BI335" i="2" s="1"/>
  <c r="CC335" i="2" l="1"/>
  <c r="CG335" i="2"/>
  <c r="EE334" i="2"/>
  <c r="I335" i="2"/>
  <c r="DI334" i="2"/>
  <c r="DJ334" i="2" s="1"/>
  <c r="L335" i="2" l="1"/>
  <c r="Q335" i="2"/>
  <c r="U335" i="2"/>
  <c r="V335" i="2"/>
  <c r="CF335" i="2"/>
  <c r="CP335" i="2"/>
  <c r="CB335" i="2"/>
  <c r="BP335" i="2"/>
  <c r="BL335" i="2"/>
  <c r="M335" i="2" l="1"/>
  <c r="N335" i="2"/>
  <c r="O335" i="2" l="1"/>
  <c r="P335" i="2" s="1"/>
  <c r="R335" i="2" s="1"/>
  <c r="W335" i="2" l="1"/>
  <c r="X335" i="2" s="1"/>
  <c r="S335" i="2"/>
  <c r="K335" i="2" s="1"/>
  <c r="T335" i="2" s="1"/>
  <c r="Y335" i="2"/>
  <c r="Z335" i="2" s="1"/>
  <c r="CQ335" i="2" l="1"/>
  <c r="AA335" i="2"/>
  <c r="CA335" i="2" l="1"/>
  <c r="BK335" i="2"/>
  <c r="BR335" i="2" s="1"/>
  <c r="CE335" i="2"/>
  <c r="BO335" i="2"/>
  <c r="BJ336" i="2" l="1"/>
  <c r="CU335" i="2"/>
  <c r="BU335" i="2"/>
  <c r="BT335" i="2"/>
  <c r="BS335" i="2"/>
  <c r="CH335" i="2"/>
  <c r="BV335" i="2" l="1"/>
  <c r="BW335" i="2" s="1"/>
  <c r="CY335" i="2"/>
  <c r="BZ336" i="2"/>
  <c r="DK335" i="2"/>
  <c r="CK335" i="2"/>
  <c r="CR335" i="2" s="1"/>
  <c r="CS335" i="2" s="1"/>
  <c r="CT335" i="2" s="1"/>
  <c r="CJ335" i="2"/>
  <c r="CI335" i="2"/>
  <c r="BN336" i="2"/>
  <c r="CZ335" i="2" l="1"/>
  <c r="CV335" i="2"/>
  <c r="EA335" i="2"/>
  <c r="DA335" i="2"/>
  <c r="CW335" i="2"/>
  <c r="EB335" i="2"/>
  <c r="DO335" i="2"/>
  <c r="DN335" i="2"/>
  <c r="DM335" i="2"/>
  <c r="DL335" i="2"/>
  <c r="CL335" i="2"/>
  <c r="CM335" i="2" s="1"/>
  <c r="CD336" i="2"/>
  <c r="D336" i="2"/>
  <c r="BX335" i="2"/>
  <c r="DS335" i="2" l="1"/>
  <c r="CN335" i="2"/>
  <c r="B336" i="2"/>
  <c r="BY335" i="2"/>
  <c r="AD336" i="2"/>
  <c r="DR335" i="2"/>
  <c r="DQ335" i="2"/>
  <c r="DP335" i="2"/>
  <c r="DV335" i="2" l="1"/>
  <c r="DT335" i="2"/>
  <c r="DU335" i="2"/>
  <c r="AF336" i="2"/>
  <c r="AG336" i="2" s="1"/>
  <c r="AI336" i="2" s="1"/>
  <c r="E336" i="2"/>
  <c r="CO335" i="2"/>
  <c r="CX335" i="2"/>
  <c r="DB335" i="2"/>
  <c r="AH336" i="2"/>
  <c r="AE336" i="2"/>
  <c r="AM336" i="2"/>
  <c r="AL336" i="2"/>
  <c r="AJ336" i="2" l="1"/>
  <c r="AC336" i="2" s="1"/>
  <c r="AK336" i="2" s="1"/>
  <c r="C337" i="2" s="1"/>
  <c r="AN337" i="2"/>
  <c r="AO337" i="2" s="1"/>
  <c r="AP336" i="2"/>
  <c r="AQ336" i="2" s="1"/>
  <c r="AR336" i="2" s="1"/>
  <c r="DC335" i="2"/>
  <c r="AY336" i="2"/>
  <c r="AV336" i="2"/>
  <c r="BD336" i="2"/>
  <c r="BC336" i="2"/>
  <c r="DW335" i="2"/>
  <c r="DX335" i="2" s="1"/>
  <c r="DF335" i="2" l="1"/>
  <c r="DD335" i="2"/>
  <c r="DE335" i="2"/>
  <c r="BQ336" i="2"/>
  <c r="BM336" i="2"/>
  <c r="DY335" i="2"/>
  <c r="DZ335" i="2" s="1"/>
  <c r="G336" i="2"/>
  <c r="AU336" i="2" s="1"/>
  <c r="AW336" i="2" l="1"/>
  <c r="AX336" i="2" s="1"/>
  <c r="AZ336" i="2" s="1"/>
  <c r="DG335" i="2"/>
  <c r="BA336" i="2" l="1"/>
  <c r="AT336" i="2" s="1"/>
  <c r="BB336" i="2" s="1"/>
  <c r="F337" i="2" s="1"/>
  <c r="BE337" i="2"/>
  <c r="DH335" i="2"/>
  <c r="EC335" i="2"/>
  <c r="ED335" i="2" s="1"/>
  <c r="EE335" i="2" l="1"/>
  <c r="I336" i="2"/>
  <c r="DI335" i="2"/>
  <c r="DJ335" i="2" s="1"/>
  <c r="BF336" i="2"/>
  <c r="BG336" i="2" s="1"/>
  <c r="BH336" i="2" s="1"/>
  <c r="BI336" i="2" s="1"/>
  <c r="Q336" i="2" l="1"/>
  <c r="U336" i="2"/>
  <c r="L336" i="2"/>
  <c r="V336" i="2"/>
  <c r="CP336" i="2"/>
  <c r="BP336" i="2"/>
  <c r="BL336" i="2"/>
  <c r="CF336" i="2"/>
  <c r="CB336" i="2"/>
  <c r="CG336" i="2"/>
  <c r="CC336" i="2"/>
  <c r="M336" i="2" l="1"/>
  <c r="N336" i="2"/>
  <c r="O336" i="2" l="1"/>
  <c r="P336" i="2" s="1"/>
  <c r="R336" i="2" s="1"/>
  <c r="W336" i="2" l="1"/>
  <c r="X336" i="2" s="1"/>
  <c r="S336" i="2"/>
  <c r="K336" i="2" s="1"/>
  <c r="T336" i="2" s="1"/>
  <c r="Y336" i="2"/>
  <c r="Z336" i="2" s="1"/>
  <c r="CQ336" i="2" l="1"/>
  <c r="AA336" i="2"/>
  <c r="BO336" i="2" l="1"/>
  <c r="CA336" i="2"/>
  <c r="CH336" i="2" s="1"/>
  <c r="BK336" i="2"/>
  <c r="BR336" i="2" s="1"/>
  <c r="CE336" i="2"/>
  <c r="CU336" i="2" l="1"/>
  <c r="BJ337" i="2"/>
  <c r="BU336" i="2"/>
  <c r="BS336" i="2"/>
  <c r="BT336" i="2"/>
  <c r="DK336" i="2"/>
  <c r="BZ337" i="2"/>
  <c r="CI336" i="2"/>
  <c r="CJ336" i="2"/>
  <c r="CK336" i="2"/>
  <c r="CL336" i="2" l="1"/>
  <c r="CM336" i="2" s="1"/>
  <c r="CD337" i="2"/>
  <c r="BV336" i="2"/>
  <c r="BW336" i="2" s="1"/>
  <c r="DO336" i="2"/>
  <c r="DN336" i="2"/>
  <c r="DM336" i="2"/>
  <c r="DL336" i="2"/>
  <c r="BN337" i="2"/>
  <c r="CY336" i="2"/>
  <c r="D337" i="2" l="1"/>
  <c r="BX336" i="2"/>
  <c r="DP336" i="2"/>
  <c r="DS336" i="2" s="1"/>
  <c r="DR336" i="2"/>
  <c r="DQ336" i="2"/>
  <c r="CR336" i="2"/>
  <c r="CS336" i="2" s="1"/>
  <c r="CT336" i="2" s="1"/>
  <c r="CN336" i="2"/>
  <c r="DV336" i="2" l="1"/>
  <c r="DT336" i="2"/>
  <c r="DU336" i="2"/>
  <c r="CV336" i="2"/>
  <c r="CZ336" i="2"/>
  <c r="DA336" i="2"/>
  <c r="CW336" i="2"/>
  <c r="EA336" i="2"/>
  <c r="EB336" i="2"/>
  <c r="B337" i="2"/>
  <c r="BY336" i="2"/>
  <c r="E337" i="2"/>
  <c r="CO336" i="2"/>
  <c r="AE337" i="2" l="1"/>
  <c r="AH337" i="2"/>
  <c r="AM337" i="2"/>
  <c r="AL337" i="2"/>
  <c r="DW336" i="2"/>
  <c r="DX336" i="2" s="1"/>
  <c r="AV337" i="2"/>
  <c r="AY337" i="2"/>
  <c r="BC337" i="2"/>
  <c r="BD337" i="2"/>
  <c r="AD337" i="2"/>
  <c r="CX336" i="2"/>
  <c r="DC336" i="2" s="1"/>
  <c r="DB336" i="2"/>
  <c r="DF336" i="2" l="1"/>
  <c r="DD336" i="2"/>
  <c r="DE336" i="2"/>
  <c r="DY336" i="2"/>
  <c r="DZ336" i="2" s="1"/>
  <c r="G337" i="2"/>
  <c r="AU337" i="2" s="1"/>
  <c r="AI337" i="2"/>
  <c r="AF337" i="2"/>
  <c r="AG337" i="2" s="1"/>
  <c r="AW337" i="2" l="1"/>
  <c r="AX337" i="2" s="1"/>
  <c r="AZ337" i="2" s="1"/>
  <c r="DG336" i="2"/>
  <c r="AN338" i="2"/>
  <c r="AO338" i="2" s="1"/>
  <c r="AJ337" i="2"/>
  <c r="AC337" i="2" s="1"/>
  <c r="AK337" i="2" s="1"/>
  <c r="C338" i="2" s="1"/>
  <c r="AP337" i="2"/>
  <c r="AQ337" i="2" s="1"/>
  <c r="AR337" i="2" s="1"/>
  <c r="BE338" i="2" l="1"/>
  <c r="BA337" i="2"/>
  <c r="AT337" i="2" s="1"/>
  <c r="BB337" i="2" s="1"/>
  <c r="F338" i="2" s="1"/>
  <c r="BM337" i="2"/>
  <c r="BQ337" i="2"/>
  <c r="DH336" i="2"/>
  <c r="EC336" i="2"/>
  <c r="ED336" i="2" s="1"/>
  <c r="I337" i="2" l="1"/>
  <c r="EE336" i="2"/>
  <c r="DI336" i="2"/>
  <c r="DJ336" i="2" s="1"/>
  <c r="BF337" i="2"/>
  <c r="BG337" i="2" s="1"/>
  <c r="BH337" i="2" s="1"/>
  <c r="BI337" i="2" s="1"/>
  <c r="CC337" i="2" l="1"/>
  <c r="CG337" i="2"/>
  <c r="V337" i="2"/>
  <c r="U337" i="2"/>
  <c r="L337" i="2"/>
  <c r="Q337" i="2"/>
  <c r="BP337" i="2"/>
  <c r="CB337" i="2"/>
  <c r="CP337" i="2"/>
  <c r="BL337" i="2"/>
  <c r="CF337" i="2"/>
  <c r="N337" i="2" l="1"/>
  <c r="M337" i="2"/>
  <c r="O337" i="2" l="1"/>
  <c r="P337" i="2" s="1"/>
  <c r="R337" i="2" s="1"/>
  <c r="W337" i="2" l="1"/>
  <c r="X337" i="2" s="1"/>
  <c r="S337" i="2"/>
  <c r="K337" i="2" s="1"/>
  <c r="T337" i="2" s="1"/>
  <c r="Y337" i="2"/>
  <c r="Z337" i="2" s="1"/>
  <c r="AA337" i="2" l="1"/>
  <c r="CQ337" i="2"/>
  <c r="BK337" i="2" l="1"/>
  <c r="BR337" i="2" s="1"/>
  <c r="BO337" i="2"/>
  <c r="CA337" i="2"/>
  <c r="CH337" i="2" s="1"/>
  <c r="CE337" i="2"/>
  <c r="BZ338" i="2" l="1"/>
  <c r="DK337" i="2"/>
  <c r="CI337" i="2"/>
  <c r="CL337" i="2" s="1"/>
  <c r="CM337" i="2" s="1"/>
  <c r="CK337" i="2"/>
  <c r="CJ337" i="2"/>
  <c r="BJ338" i="2"/>
  <c r="CU337" i="2"/>
  <c r="BU337" i="2"/>
  <c r="BS337" i="2"/>
  <c r="BT337" i="2"/>
  <c r="BV337" i="2" l="1"/>
  <c r="BW337" i="2" s="1"/>
  <c r="CR337" i="2"/>
  <c r="CS337" i="2" s="1"/>
  <c r="CT337" i="2" s="1"/>
  <c r="CN337" i="2"/>
  <c r="BN338" i="2"/>
  <c r="DO337" i="2"/>
  <c r="DM337" i="2"/>
  <c r="DN337" i="2"/>
  <c r="DL337" i="2"/>
  <c r="CY337" i="2"/>
  <c r="CD338" i="2"/>
  <c r="DP337" i="2" l="1"/>
  <c r="DS337" i="2" s="1"/>
  <c r="DR337" i="2"/>
  <c r="DQ337" i="2"/>
  <c r="E338" i="2"/>
  <c r="CO337" i="2"/>
  <c r="CV337" i="2"/>
  <c r="CZ337" i="2"/>
  <c r="EA337" i="2"/>
  <c r="CW337" i="2"/>
  <c r="DA337" i="2"/>
  <c r="EB337" i="2"/>
  <c r="BX337" i="2"/>
  <c r="D338" i="2"/>
  <c r="DT337" i="2" l="1"/>
  <c r="DU337" i="2"/>
  <c r="DV337" i="2"/>
  <c r="B338" i="2"/>
  <c r="AD338" i="2" s="1"/>
  <c r="BY337" i="2"/>
  <c r="AY338" i="2"/>
  <c r="AV338" i="2"/>
  <c r="BC338" i="2"/>
  <c r="BD338" i="2"/>
  <c r="AF338" i="2" l="1"/>
  <c r="AG338" i="2" s="1"/>
  <c r="AI338" i="2" s="1"/>
  <c r="CX337" i="2"/>
  <c r="DC337" i="2" s="1"/>
  <c r="DB337" i="2"/>
  <c r="AH338" i="2"/>
  <c r="AE338" i="2"/>
  <c r="AL338" i="2"/>
  <c r="AM338" i="2"/>
  <c r="DW337" i="2"/>
  <c r="DX337" i="2" s="1"/>
  <c r="AJ338" i="2" l="1"/>
  <c r="AC338" i="2" s="1"/>
  <c r="AK338" i="2" s="1"/>
  <c r="C339" i="2" s="1"/>
  <c r="AN339" i="2"/>
  <c r="AO339" i="2" s="1"/>
  <c r="AP338" i="2"/>
  <c r="AQ338" i="2" s="1"/>
  <c r="AR338" i="2" s="1"/>
  <c r="DF337" i="2"/>
  <c r="DD337" i="2"/>
  <c r="DE337" i="2"/>
  <c r="DY337" i="2"/>
  <c r="DZ337" i="2" s="1"/>
  <c r="G338" i="2"/>
  <c r="AU338" i="2" s="1"/>
  <c r="AW338" i="2" l="1"/>
  <c r="AX338" i="2" s="1"/>
  <c r="AZ338" i="2" s="1"/>
  <c r="DG337" i="2"/>
  <c r="BM338" i="2"/>
  <c r="BQ338" i="2"/>
  <c r="BA338" i="2" l="1"/>
  <c r="AT338" i="2" s="1"/>
  <c r="BB338" i="2" s="1"/>
  <c r="F339" i="2" s="1"/>
  <c r="BE339" i="2"/>
  <c r="DH337" i="2"/>
  <c r="EC337" i="2"/>
  <c r="ED337" i="2" s="1"/>
  <c r="DI337" i="2" l="1"/>
  <c r="DJ337" i="2" s="1"/>
  <c r="EE337" i="2"/>
  <c r="I338" i="2"/>
  <c r="BF338" i="2"/>
  <c r="BG338" i="2" s="1"/>
  <c r="BH338" i="2" s="1"/>
  <c r="BI338" i="2" s="1"/>
  <c r="L338" i="2" l="1"/>
  <c r="Q338" i="2"/>
  <c r="V338" i="2"/>
  <c r="U338" i="2"/>
  <c r="CF338" i="2"/>
  <c r="CB338" i="2"/>
  <c r="CP338" i="2"/>
  <c r="BL338" i="2"/>
  <c r="BP338" i="2"/>
  <c r="CC338" i="2"/>
  <c r="CG338" i="2"/>
  <c r="M338" i="2" l="1"/>
  <c r="N338" i="2"/>
  <c r="O338" i="2" l="1"/>
  <c r="P338" i="2" s="1"/>
  <c r="R338" i="2" s="1"/>
  <c r="S338" i="2" l="1"/>
  <c r="K338" i="2" s="1"/>
  <c r="T338" i="2" s="1"/>
  <c r="W338" i="2"/>
  <c r="X338" i="2" s="1"/>
  <c r="Y338" i="2" s="1"/>
  <c r="Z338" i="2" s="1"/>
  <c r="AA338" i="2" l="1"/>
  <c r="CQ338" i="2"/>
  <c r="CE338" i="2" l="1"/>
  <c r="BK338" i="2"/>
  <c r="BR338" i="2" s="1"/>
  <c r="BO338" i="2"/>
  <c r="CA338" i="2"/>
  <c r="CH338" i="2" s="1"/>
  <c r="CU338" i="2" l="1"/>
  <c r="BJ339" i="2"/>
  <c r="BU338" i="2"/>
  <c r="BT338" i="2"/>
  <c r="BS338" i="2"/>
  <c r="DK338" i="2"/>
  <c r="BZ339" i="2"/>
  <c r="CJ338" i="2"/>
  <c r="CK338" i="2"/>
  <c r="CI338" i="2"/>
  <c r="CD339" i="2" l="1"/>
  <c r="BV338" i="2"/>
  <c r="BW338" i="2" s="1"/>
  <c r="CL338" i="2"/>
  <c r="CM338" i="2" s="1"/>
  <c r="DO338" i="2"/>
  <c r="DM338" i="2"/>
  <c r="DL338" i="2"/>
  <c r="DN338" i="2"/>
  <c r="BN339" i="2"/>
  <c r="CR338" i="2"/>
  <c r="CS338" i="2" s="1"/>
  <c r="CT338" i="2" s="1"/>
  <c r="CY338" i="2"/>
  <c r="CZ338" i="2" l="1"/>
  <c r="CV338" i="2"/>
  <c r="CW338" i="2"/>
  <c r="EA338" i="2"/>
  <c r="DA338" i="2"/>
  <c r="EB338" i="2"/>
  <c r="CN338" i="2"/>
  <c r="D339" i="2"/>
  <c r="BX338" i="2"/>
  <c r="DP338" i="2"/>
  <c r="DS338" i="2" s="1"/>
  <c r="DQ338" i="2"/>
  <c r="DR338" i="2"/>
  <c r="DV338" i="2" l="1"/>
  <c r="DU338" i="2"/>
  <c r="DT338" i="2"/>
  <c r="AD339" i="2"/>
  <c r="E339" i="2"/>
  <c r="CO338" i="2"/>
  <c r="B339" i="2"/>
  <c r="BY338" i="2"/>
  <c r="AF339" i="2" l="1"/>
  <c r="AG339" i="2" s="1"/>
  <c r="AI339" i="2" s="1"/>
  <c r="DW338" i="2"/>
  <c r="DX338" i="2" s="1"/>
  <c r="CX338" i="2"/>
  <c r="DC338" i="2" s="1"/>
  <c r="DB338" i="2"/>
  <c r="AY339" i="2"/>
  <c r="AV339" i="2"/>
  <c r="BC339" i="2"/>
  <c r="BD339" i="2"/>
  <c r="AH339" i="2"/>
  <c r="AE339" i="2"/>
  <c r="AL339" i="2"/>
  <c r="AM339" i="2"/>
  <c r="AN340" i="2" l="1"/>
  <c r="AO340" i="2" s="1"/>
  <c r="AJ339" i="2"/>
  <c r="AC339" i="2" s="1"/>
  <c r="AK339" i="2" s="1"/>
  <c r="C340" i="2" s="1"/>
  <c r="AP339" i="2"/>
  <c r="AQ339" i="2" s="1"/>
  <c r="AR339" i="2" s="1"/>
  <c r="DY338" i="2"/>
  <c r="DZ338" i="2" s="1"/>
  <c r="G339" i="2"/>
  <c r="AU339" i="2" s="1"/>
  <c r="DF338" i="2"/>
  <c r="DD338" i="2"/>
  <c r="DE338" i="2"/>
  <c r="DG338" i="2" l="1"/>
  <c r="BM339" i="2"/>
  <c r="BQ339" i="2"/>
  <c r="AW339" i="2"/>
  <c r="AX339" i="2" s="1"/>
  <c r="AZ339" i="2" s="1"/>
  <c r="BE340" i="2" l="1"/>
  <c r="BA339" i="2"/>
  <c r="AT339" i="2" s="1"/>
  <c r="BB339" i="2" s="1"/>
  <c r="F340" i="2" s="1"/>
  <c r="DH338" i="2"/>
  <c r="EC338" i="2"/>
  <c r="ED338" i="2" s="1"/>
  <c r="DI338" i="2" l="1"/>
  <c r="DJ338" i="2" s="1"/>
  <c r="EE338" i="2"/>
  <c r="I339" i="2"/>
  <c r="BF339" i="2"/>
  <c r="BG339" i="2" s="1"/>
  <c r="BH339" i="2" s="1"/>
  <c r="BI339" i="2" s="1"/>
  <c r="Q339" i="2" l="1"/>
  <c r="U339" i="2"/>
  <c r="V339" i="2"/>
  <c r="L339" i="2"/>
  <c r="CB339" i="2"/>
  <c r="BL339" i="2"/>
  <c r="BP339" i="2"/>
  <c r="CF339" i="2"/>
  <c r="CP339" i="2"/>
  <c r="CC339" i="2"/>
  <c r="CG339" i="2"/>
  <c r="M339" i="2" l="1"/>
  <c r="N339" i="2"/>
  <c r="O339" i="2" l="1"/>
  <c r="P339" i="2" s="1"/>
  <c r="R339" i="2" s="1"/>
  <c r="S339" i="2" l="1"/>
  <c r="K339" i="2" s="1"/>
  <c r="T339" i="2" s="1"/>
  <c r="W339" i="2"/>
  <c r="X339" i="2" s="1"/>
  <c r="Y339" i="2" s="1"/>
  <c r="Z339" i="2" s="1"/>
  <c r="CQ339" i="2" l="1"/>
  <c r="AA339" i="2"/>
  <c r="CA339" i="2" l="1"/>
  <c r="BK339" i="2"/>
  <c r="CE339" i="2"/>
  <c r="BO339" i="2"/>
  <c r="BR339" i="2" l="1"/>
  <c r="CH339" i="2"/>
  <c r="DK339" i="2" l="1"/>
  <c r="BZ340" i="2"/>
  <c r="CK339" i="2"/>
  <c r="CJ339" i="2"/>
  <c r="CI339" i="2"/>
  <c r="CU339" i="2"/>
  <c r="BJ340" i="2"/>
  <c r="BU339" i="2"/>
  <c r="BS339" i="2"/>
  <c r="BT339" i="2"/>
  <c r="CD340" i="2" l="1"/>
  <c r="BV339" i="2"/>
  <c r="BW339" i="2" s="1"/>
  <c r="BN340" i="2"/>
  <c r="CY339" i="2"/>
  <c r="CL339" i="2"/>
  <c r="CM339" i="2" s="1"/>
  <c r="DO339" i="2"/>
  <c r="DM339" i="2"/>
  <c r="DL339" i="2"/>
  <c r="DN339" i="2"/>
  <c r="BX339" i="2" l="1"/>
  <c r="D340" i="2"/>
  <c r="DR339" i="2"/>
  <c r="DP339" i="2"/>
  <c r="DS339" i="2" s="1"/>
  <c r="DQ339" i="2"/>
  <c r="CN339" i="2"/>
  <c r="CR339" i="2"/>
  <c r="CS339" i="2" s="1"/>
  <c r="CT339" i="2" s="1"/>
  <c r="DT339" i="2" l="1"/>
  <c r="DV339" i="2"/>
  <c r="DU339" i="2"/>
  <c r="CV339" i="2"/>
  <c r="CZ339" i="2"/>
  <c r="DA339" i="2"/>
  <c r="CW339" i="2"/>
  <c r="EA339" i="2"/>
  <c r="EB339" i="2"/>
  <c r="E340" i="2"/>
  <c r="CO339" i="2"/>
  <c r="AD340" i="2"/>
  <c r="B340" i="2"/>
  <c r="BY339" i="2"/>
  <c r="AF340" i="2" l="1"/>
  <c r="AG340" i="2" s="1"/>
  <c r="AI340" i="2" s="1"/>
  <c r="CX339" i="2"/>
  <c r="DC339" i="2" s="1"/>
  <c r="DB339" i="2"/>
  <c r="AE340" i="2"/>
  <c r="AH340" i="2"/>
  <c r="AL340" i="2"/>
  <c r="AM340" i="2"/>
  <c r="AV340" i="2"/>
  <c r="AY340" i="2"/>
  <c r="BC340" i="2"/>
  <c r="BD340" i="2"/>
  <c r="DW339" i="2"/>
  <c r="DX339" i="2" s="1"/>
  <c r="AN341" i="2" l="1"/>
  <c r="AO341" i="2" s="1"/>
  <c r="AJ340" i="2"/>
  <c r="AC340" i="2" s="1"/>
  <c r="AK340" i="2" s="1"/>
  <c r="C341" i="2" s="1"/>
  <c r="AP340" i="2"/>
  <c r="AQ340" i="2" s="1"/>
  <c r="AR340" i="2" s="1"/>
  <c r="DF339" i="2"/>
  <c r="DD339" i="2"/>
  <c r="DE339" i="2"/>
  <c r="DY339" i="2"/>
  <c r="DZ339" i="2" s="1"/>
  <c r="G340" i="2"/>
  <c r="AU340" i="2" s="1"/>
  <c r="DG339" i="2" l="1"/>
  <c r="BM340" i="2"/>
  <c r="BQ340" i="2"/>
  <c r="AW340" i="2"/>
  <c r="AX340" i="2" s="1"/>
  <c r="AZ340" i="2" s="1"/>
  <c r="BE341" i="2" l="1"/>
  <c r="BA340" i="2"/>
  <c r="AT340" i="2" s="1"/>
  <c r="BB340" i="2" s="1"/>
  <c r="F341" i="2" s="1"/>
  <c r="DH339" i="2"/>
  <c r="EC339" i="2"/>
  <c r="ED339" i="2" s="1"/>
  <c r="DI339" i="2" l="1"/>
  <c r="DJ339" i="2" s="1"/>
  <c r="EE339" i="2"/>
  <c r="I340" i="2"/>
  <c r="BF341" i="2"/>
  <c r="BF340" i="2"/>
  <c r="BG340" i="2" s="1"/>
  <c r="BH340" i="2" s="1"/>
  <c r="BI340" i="2" s="1"/>
  <c r="V340" i="2" l="1"/>
  <c r="L340" i="2"/>
  <c r="Q340" i="2"/>
  <c r="U340" i="2"/>
  <c r="BP340" i="2"/>
  <c r="CB340" i="2"/>
  <c r="CP340" i="2"/>
  <c r="BL340" i="2"/>
  <c r="CF340" i="2"/>
  <c r="CC340" i="2"/>
  <c r="CG340" i="2"/>
  <c r="N340" i="2" l="1"/>
  <c r="M340" i="2"/>
  <c r="O340" i="2" l="1"/>
  <c r="P340" i="2" s="1"/>
  <c r="R340" i="2" s="1"/>
  <c r="S340" i="2" l="1"/>
  <c r="K340" i="2" s="1"/>
  <c r="T340" i="2" s="1"/>
  <c r="W340" i="2"/>
  <c r="X340" i="2" s="1"/>
  <c r="Y340" i="2"/>
  <c r="Z340" i="2" s="1"/>
  <c r="AA340" i="2" l="1"/>
  <c r="CQ340" i="2"/>
  <c r="CA340" i="2" l="1"/>
  <c r="CH340" i="2" s="1"/>
  <c r="BK340" i="2"/>
  <c r="BR340" i="2" s="1"/>
  <c r="CE340" i="2"/>
  <c r="BO340" i="2"/>
  <c r="BJ341" i="2" l="1"/>
  <c r="CU340" i="2"/>
  <c r="BU340" i="2"/>
  <c r="BT340" i="2"/>
  <c r="BS340" i="2"/>
  <c r="BZ341" i="2"/>
  <c r="DK340" i="2"/>
  <c r="CJ340" i="2"/>
  <c r="CK340" i="2"/>
  <c r="CI340" i="2"/>
  <c r="DO340" i="2" l="1"/>
  <c r="DL340" i="2"/>
  <c r="DM340" i="2"/>
  <c r="DN340" i="2"/>
  <c r="BV340" i="2"/>
  <c r="BW340" i="2" s="1"/>
  <c r="CL340" i="2"/>
  <c r="CM340" i="2" s="1"/>
  <c r="CD341" i="2"/>
  <c r="CY340" i="2"/>
  <c r="BN341" i="2"/>
  <c r="CR340" i="2" l="1"/>
  <c r="CS340" i="2" s="1"/>
  <c r="CT340" i="2" s="1"/>
  <c r="BX340" i="2"/>
  <c r="D341" i="2"/>
  <c r="DP340" i="2"/>
  <c r="DQ340" i="2"/>
  <c r="DR340" i="2"/>
  <c r="CN340" i="2"/>
  <c r="E341" i="2" l="1"/>
  <c r="CO340" i="2"/>
  <c r="AD341" i="2"/>
  <c r="B341" i="2"/>
  <c r="BY340" i="2"/>
  <c r="CV340" i="2"/>
  <c r="CZ340" i="2"/>
  <c r="CW340" i="2"/>
  <c r="DA340" i="2"/>
  <c r="EA340" i="2"/>
  <c r="EB340" i="2"/>
  <c r="DS340" i="2"/>
  <c r="DU340" i="2" l="1"/>
  <c r="DT340" i="2"/>
  <c r="DV340" i="2"/>
  <c r="AF341" i="2"/>
  <c r="AG341" i="2" s="1"/>
  <c r="AI341" i="2" s="1"/>
  <c r="CX340" i="2"/>
  <c r="DC340" i="2" s="1"/>
  <c r="DB340" i="2"/>
  <c r="AH341" i="2"/>
  <c r="AE341" i="2"/>
  <c r="AL341" i="2"/>
  <c r="AM341" i="2"/>
  <c r="AY341" i="2"/>
  <c r="AV341" i="2"/>
  <c r="BC341" i="2"/>
  <c r="BD341" i="2"/>
  <c r="AJ341" i="2" l="1"/>
  <c r="AC341" i="2" s="1"/>
  <c r="AK341" i="2" s="1"/>
  <c r="C342" i="2" s="1"/>
  <c r="AN342" i="2"/>
  <c r="AP341" i="2"/>
  <c r="AQ341" i="2" s="1"/>
  <c r="AR341" i="2" s="1"/>
  <c r="DF340" i="2"/>
  <c r="DD340" i="2"/>
  <c r="DE340" i="2"/>
  <c r="DW340" i="2"/>
  <c r="DX340" i="2" s="1"/>
  <c r="DG340" i="2" l="1"/>
  <c r="DY340" i="2"/>
  <c r="DZ340" i="2" s="1"/>
  <c r="G341" i="2"/>
  <c r="AU341" i="2" s="1"/>
  <c r="BM341" i="2"/>
  <c r="BQ341" i="2"/>
  <c r="AW341" i="2" l="1"/>
  <c r="AX341" i="2" s="1"/>
  <c r="AZ341" i="2" s="1"/>
  <c r="DH340" i="2"/>
  <c r="EC340" i="2"/>
  <c r="ED340" i="2" s="1"/>
  <c r="BA341" i="2" l="1"/>
  <c r="AT341" i="2" s="1"/>
  <c r="BB341" i="2" s="1"/>
  <c r="F342" i="2" s="1"/>
  <c r="BG341" i="2"/>
  <c r="BH341" i="2" s="1"/>
  <c r="BI341" i="2" s="1"/>
  <c r="DI340" i="2"/>
  <c r="DJ340" i="2" s="1"/>
  <c r="I341" i="2"/>
  <c r="EE340" i="2"/>
  <c r="L341" i="2" l="1"/>
  <c r="Q341" i="2"/>
  <c r="U341" i="2"/>
  <c r="V341" i="2"/>
  <c r="BL341" i="2"/>
  <c r="CF341" i="2"/>
  <c r="BP341" i="2"/>
  <c r="CB341" i="2"/>
  <c r="CP341" i="2"/>
  <c r="CC341" i="2"/>
  <c r="CG341" i="2"/>
  <c r="M341" i="2" l="1"/>
  <c r="N341" i="2"/>
  <c r="O341" i="2" l="1"/>
  <c r="P341" i="2" s="1"/>
  <c r="R341" i="2" s="1"/>
  <c r="S341" i="2" l="1"/>
  <c r="K341" i="2" s="1"/>
  <c r="T341" i="2" s="1"/>
  <c r="W341" i="2"/>
  <c r="X341" i="2" s="1"/>
  <c r="Y341" i="2" s="1"/>
  <c r="Z341" i="2" s="1"/>
  <c r="AA341" i="2" l="1"/>
  <c r="CQ341" i="2"/>
  <c r="CA341" i="2" l="1"/>
  <c r="CH341" i="2" s="1"/>
  <c r="BK341" i="2"/>
  <c r="BR341" i="2" s="1"/>
  <c r="CE341" i="2"/>
  <c r="BO341" i="2"/>
  <c r="CU341" i="2" l="1"/>
  <c r="BU341" i="2"/>
  <c r="BS341" i="2"/>
  <c r="BT341" i="2"/>
  <c r="DK341" i="2"/>
  <c r="CK341" i="2"/>
  <c r="CI341" i="2"/>
  <c r="CJ341" i="2"/>
  <c r="CL341" i="2" l="1"/>
  <c r="CM341" i="2" s="1"/>
  <c r="BV341" i="2"/>
  <c r="BW341" i="2" s="1"/>
  <c r="DO341" i="2"/>
  <c r="DM341" i="2"/>
  <c r="DL341" i="2"/>
  <c r="DN341" i="2"/>
  <c r="CY341" i="2"/>
  <c r="D342" i="2" l="1"/>
  <c r="BX341" i="2"/>
  <c r="DQ341" i="2"/>
  <c r="DP341" i="2"/>
  <c r="DS341" i="2" s="1"/>
  <c r="DR341" i="2"/>
  <c r="CN341" i="2"/>
  <c r="CR341" i="2"/>
  <c r="CS341" i="2" s="1"/>
  <c r="CT341" i="2" s="1"/>
  <c r="DT341" i="2" l="1"/>
  <c r="DU341" i="2"/>
  <c r="DV341" i="2"/>
  <c r="E342" i="2"/>
  <c r="CO341" i="2"/>
  <c r="B342" i="2"/>
  <c r="BY341" i="2"/>
  <c r="CV341" i="2"/>
  <c r="CZ341" i="2"/>
  <c r="CW341" i="2"/>
  <c r="DA341" i="2"/>
  <c r="EA341" i="2"/>
  <c r="EB341" i="2"/>
  <c r="AD342" i="2"/>
  <c r="AF342" i="2" l="1"/>
  <c r="AG342" i="2" s="1"/>
  <c r="AI342" i="2" s="1"/>
  <c r="AJ342" i="2" s="1"/>
  <c r="AC342" i="2" s="1"/>
  <c r="AK342" i="2" s="1"/>
  <c r="C343" i="2" s="1"/>
  <c r="AY342" i="2"/>
  <c r="AV342" i="2"/>
  <c r="BD342" i="2"/>
  <c r="BH342" i="2" s="1"/>
  <c r="BI342" i="2" s="1"/>
  <c r="CK342" i="2" s="1"/>
  <c r="CL342" i="2" s="1"/>
  <c r="CM342" i="2" s="1"/>
  <c r="CN342" i="2" s="1"/>
  <c r="E343" i="2" s="1"/>
  <c r="E344" i="2" s="1"/>
  <c r="BC342" i="2"/>
  <c r="AE342" i="2"/>
  <c r="AH342" i="2"/>
  <c r="AL342" i="2"/>
  <c r="AM342" i="2"/>
  <c r="AQ342" i="2" s="1"/>
  <c r="AR342" i="2" s="1"/>
  <c r="BU342" i="2" s="1"/>
  <c r="BV342" i="2" s="1"/>
  <c r="BW342" i="2" s="1"/>
  <c r="CX341" i="2"/>
  <c r="DC341" i="2" s="1"/>
  <c r="DB341" i="2"/>
  <c r="DW341" i="2"/>
  <c r="DX341" i="2" s="1"/>
  <c r="DF341" i="2" l="1"/>
  <c r="DD341" i="2"/>
  <c r="DE341" i="2"/>
  <c r="DE343" i="2" s="1"/>
  <c r="D343" i="2"/>
  <c r="BX342" i="2"/>
  <c r="CO342" i="2"/>
  <c r="DY341" i="2"/>
  <c r="DZ341" i="2" s="1"/>
  <c r="G342" i="2"/>
  <c r="AU342" i="2" s="1"/>
  <c r="DX342" i="2"/>
  <c r="AW342" i="2" l="1"/>
  <c r="AX342" i="2" s="1"/>
  <c r="AZ342" i="2" s="1"/>
  <c r="BA342" i="2" s="1"/>
  <c r="AT342" i="2" s="1"/>
  <c r="BB342" i="2" s="1"/>
  <c r="F343" i="2" s="1"/>
  <c r="G343" i="2"/>
  <c r="G344" i="2" s="1"/>
  <c r="C348" i="2" s="1"/>
  <c r="DY342" i="2"/>
  <c r="DZ342" i="2" s="1"/>
  <c r="B343" i="2"/>
  <c r="BY342" i="2"/>
  <c r="DG341" i="2"/>
  <c r="B439" i="2" l="1"/>
  <c r="C349" i="2"/>
  <c r="D453" i="2"/>
  <c r="DH341" i="2"/>
  <c r="EC341" i="2"/>
  <c r="ED341" i="2" s="1"/>
  <c r="G472" i="2" l="1"/>
  <c r="J453" i="2"/>
  <c r="B453" i="2"/>
  <c r="B438" i="2"/>
  <c r="DI341" i="2"/>
  <c r="DJ341" i="2" s="1"/>
  <c r="DH342" i="2"/>
  <c r="DI342" i="2" s="1"/>
  <c r="I342" i="2"/>
  <c r="EE341" i="2"/>
  <c r="CM472" i="2" l="1"/>
  <c r="DX472" i="2"/>
  <c r="DJ342" i="2"/>
  <c r="L342" i="2"/>
  <c r="Q342" i="2"/>
  <c r="U342" i="2"/>
  <c r="I343" i="2"/>
  <c r="V342" i="2"/>
  <c r="Z342" i="2" s="1"/>
  <c r="EE342" i="2"/>
  <c r="M453" i="2"/>
  <c r="AL452" i="2"/>
  <c r="E472" i="2"/>
  <c r="Q453" i="2"/>
  <c r="R453" i="2"/>
  <c r="CO471" i="2" l="1"/>
  <c r="AY472" i="2"/>
  <c r="BZ473" i="2"/>
  <c r="DZ471" i="2"/>
  <c r="DZ472" i="2" s="1"/>
  <c r="AV472" i="2"/>
  <c r="BC472" i="2"/>
  <c r="BD472" i="2"/>
  <c r="BH472" i="2" s="1"/>
  <c r="BI472" i="2" s="1"/>
  <c r="AA342" i="2"/>
  <c r="CQ342" i="2"/>
  <c r="CR342" i="2" s="1"/>
  <c r="CS342" i="2" s="1"/>
  <c r="CT342" i="2" s="1"/>
  <c r="EA342" i="2" s="1"/>
  <c r="CN472" i="2"/>
  <c r="DY472" i="2"/>
  <c r="E473" i="2" s="1"/>
  <c r="G473" i="2"/>
  <c r="M342" i="2"/>
  <c r="N342" i="2"/>
  <c r="AU472" i="2"/>
  <c r="CD473" i="2" l="1"/>
  <c r="CB473" i="2"/>
  <c r="R342" i="2"/>
  <c r="S342" i="2" s="1"/>
  <c r="O342" i="2"/>
  <c r="P342" i="2" s="1"/>
  <c r="T342" i="2" s="1"/>
  <c r="C345" i="2" s="1"/>
  <c r="AY473" i="2"/>
  <c r="AV473" i="2"/>
  <c r="EB342" i="2"/>
  <c r="C350" i="2" s="1"/>
  <c r="CO472" i="2"/>
  <c r="F345" i="2" l="1"/>
  <c r="C346" i="2"/>
  <c r="CF473" i="2"/>
  <c r="B409" i="2"/>
  <c r="C351" i="2"/>
  <c r="B421" i="2" l="1"/>
  <c r="D371" i="2"/>
  <c r="I377" i="2" l="1"/>
  <c r="J377" i="2" s="1"/>
  <c r="O377" i="2" s="1"/>
  <c r="M377" i="2"/>
  <c r="N377" i="2" s="1"/>
  <c r="X377" i="2"/>
  <c r="Y377" i="2" s="1"/>
  <c r="O473" i="2"/>
  <c r="P473" i="2" s="1"/>
  <c r="R473" i="2" s="1"/>
  <c r="O472" i="2"/>
  <c r="P472" i="2" s="1"/>
  <c r="ED498" i="2"/>
  <c r="CS472" i="2"/>
  <c r="CT472" i="2" s="1"/>
  <c r="EB472" i="2" s="1"/>
  <c r="S473" i="2" l="1"/>
  <c r="K473" i="2" s="1"/>
  <c r="T473" i="2" s="1"/>
  <c r="W473" i="2"/>
  <c r="X473" i="2" s="1"/>
  <c r="Y473" i="2"/>
  <c r="Z473" i="2" s="1"/>
  <c r="AA377" i="2"/>
  <c r="Z377" i="2"/>
  <c r="R472" i="2"/>
  <c r="S472" i="2" s="1"/>
  <c r="T472" i="2"/>
  <c r="AA473" i="2" l="1"/>
  <c r="CQ473" i="2"/>
  <c r="AB377" i="2"/>
  <c r="G378" i="2" s="1"/>
  <c r="AC377" i="2"/>
  <c r="Q378" i="2" l="1"/>
  <c r="AF377" i="2"/>
  <c r="H378" i="2"/>
  <c r="I378" i="2" s="1"/>
  <c r="J378" i="2" s="1"/>
  <c r="L378" i="2"/>
  <c r="M378" i="2" s="1"/>
  <c r="P378" i="2"/>
  <c r="C567" i="2"/>
  <c r="W378" i="2"/>
  <c r="AG377" i="2"/>
  <c r="D567" i="2"/>
  <c r="CA473" i="2"/>
  <c r="CE473" i="2"/>
  <c r="AH377" i="2" l="1"/>
  <c r="E567" i="2"/>
  <c r="E568" i="2"/>
  <c r="N378" i="2"/>
  <c r="F378" i="2" s="1"/>
  <c r="O378" i="2" s="1"/>
  <c r="R378" i="2"/>
  <c r="S378" i="2" s="1"/>
  <c r="T378" i="2"/>
  <c r="U378" i="2" s="1"/>
  <c r="V378" i="2" l="1"/>
  <c r="X378" i="2" s="1"/>
  <c r="Y378" i="2" s="1"/>
  <c r="AA378" i="2" s="1"/>
  <c r="Z378" i="2" l="1"/>
  <c r="AC378" i="2" l="1"/>
  <c r="AB378" i="2"/>
  <c r="G379" i="2" s="1"/>
  <c r="H379" i="2" l="1"/>
  <c r="I379" i="2" s="1"/>
  <c r="J379" i="2" s="1"/>
  <c r="L379" i="2"/>
  <c r="M379" i="2" s="1"/>
  <c r="P379" i="2"/>
  <c r="Q379" i="2"/>
  <c r="AF378" i="2"/>
  <c r="AH378" i="2" s="1"/>
  <c r="C568" i="2"/>
  <c r="E569" i="2" s="1"/>
  <c r="W379" i="2"/>
  <c r="AG378" i="2"/>
  <c r="D568" i="2"/>
  <c r="N379" i="2" l="1"/>
  <c r="F379" i="2" s="1"/>
  <c r="O379" i="2" s="1"/>
  <c r="R379" i="2"/>
  <c r="S379" i="2" s="1"/>
  <c r="T379" i="2"/>
  <c r="U379" i="2" s="1"/>
  <c r="V379" i="2" l="1"/>
  <c r="X379" i="2" s="1"/>
  <c r="Y379" i="2" s="1"/>
  <c r="AA379" i="2" s="1"/>
  <c r="Z379" i="2" l="1"/>
  <c r="AB379" i="2" l="1"/>
  <c r="G380" i="2" s="1"/>
  <c r="AC379" i="2"/>
  <c r="AG379" i="2" l="1"/>
  <c r="D569" i="2"/>
  <c r="Q380" i="2"/>
  <c r="AF379" i="2"/>
  <c r="AH379" i="2" s="1"/>
  <c r="H380" i="2"/>
  <c r="I380" i="2" s="1"/>
  <c r="J380" i="2" s="1"/>
  <c r="L380" i="2"/>
  <c r="M380" i="2" s="1"/>
  <c r="P380" i="2"/>
  <c r="C569" i="2"/>
  <c r="E570" i="2" s="1"/>
  <c r="W380" i="2"/>
  <c r="N380" i="2" l="1"/>
  <c r="F380" i="2" s="1"/>
  <c r="O380" i="2" s="1"/>
  <c r="R380" i="2"/>
  <c r="S380" i="2" s="1"/>
  <c r="T380" i="2"/>
  <c r="U380" i="2" s="1"/>
  <c r="V380" i="2" l="1"/>
  <c r="X380" i="2" s="1"/>
  <c r="Y380" i="2" s="1"/>
  <c r="AA380" i="2" s="1"/>
  <c r="Z380" i="2" l="1"/>
  <c r="AC380" i="2" l="1"/>
  <c r="AB380" i="2"/>
  <c r="G381" i="2" s="1"/>
  <c r="H381" i="2" l="1"/>
  <c r="I381" i="2" s="1"/>
  <c r="J381" i="2" s="1"/>
  <c r="L381" i="2"/>
  <c r="M381" i="2" s="1"/>
  <c r="P381" i="2"/>
  <c r="Q381" i="2"/>
  <c r="AF380" i="2"/>
  <c r="AH380" i="2" s="1"/>
  <c r="C570" i="2"/>
  <c r="E571" i="2" s="1"/>
  <c r="W381" i="2"/>
  <c r="AG380" i="2"/>
  <c r="D570" i="2"/>
  <c r="N381" i="2" l="1"/>
  <c r="F381" i="2" s="1"/>
  <c r="O381" i="2" s="1"/>
  <c r="R381" i="2"/>
  <c r="S381" i="2" s="1"/>
  <c r="T381" i="2"/>
  <c r="U381" i="2" s="1"/>
  <c r="V381" i="2" l="1"/>
  <c r="X381" i="2" s="1"/>
  <c r="Y381" i="2" s="1"/>
  <c r="AA381" i="2" s="1"/>
  <c r="Z381" i="2" l="1"/>
  <c r="AB381" i="2" l="1"/>
  <c r="G382" i="2" s="1"/>
  <c r="AC381" i="2"/>
  <c r="AG381" i="2" l="1"/>
  <c r="D571" i="2"/>
  <c r="Q382" i="2"/>
  <c r="AF381" i="2"/>
  <c r="AH381" i="2" s="1"/>
  <c r="H382" i="2"/>
  <c r="I382" i="2" s="1"/>
  <c r="J382" i="2" s="1"/>
  <c r="L382" i="2"/>
  <c r="M382" i="2" s="1"/>
  <c r="P382" i="2"/>
  <c r="C571" i="2"/>
  <c r="E572" i="2" s="1"/>
  <c r="W382" i="2"/>
  <c r="N382" i="2" l="1"/>
  <c r="F382" i="2" s="1"/>
  <c r="O382" i="2" s="1"/>
  <c r="R382" i="2"/>
  <c r="S382" i="2" s="1"/>
  <c r="T382" i="2"/>
  <c r="U382" i="2" s="1"/>
  <c r="V382" i="2" l="1"/>
  <c r="X382" i="2" s="1"/>
  <c r="Y382" i="2" s="1"/>
  <c r="AA382" i="2" s="1"/>
  <c r="Z382" i="2" l="1"/>
  <c r="AC382" i="2" l="1"/>
  <c r="AB382" i="2"/>
  <c r="G383" i="2" s="1"/>
  <c r="H383" i="2" l="1"/>
  <c r="I383" i="2" s="1"/>
  <c r="J383" i="2" s="1"/>
  <c r="L383" i="2"/>
  <c r="M383" i="2" s="1"/>
  <c r="P383" i="2"/>
  <c r="Q383" i="2"/>
  <c r="AF382" i="2"/>
  <c r="AH382" i="2" s="1"/>
  <c r="C572" i="2"/>
  <c r="E573" i="2" s="1"/>
  <c r="W383" i="2"/>
  <c r="AG382" i="2"/>
  <c r="D572" i="2"/>
  <c r="N383" i="2" l="1"/>
  <c r="F383" i="2" s="1"/>
  <c r="O383" i="2" s="1"/>
  <c r="R383" i="2"/>
  <c r="S383" i="2" s="1"/>
  <c r="T383" i="2"/>
  <c r="U383" i="2" s="1"/>
  <c r="V383" i="2" l="1"/>
  <c r="X383" i="2" s="1"/>
  <c r="Y383" i="2" s="1"/>
  <c r="AA383" i="2" s="1"/>
  <c r="Z383" i="2" l="1"/>
  <c r="AB383" i="2" l="1"/>
  <c r="G384" i="2" s="1"/>
  <c r="AC383" i="2"/>
  <c r="AG383" i="2" l="1"/>
  <c r="D573" i="2"/>
  <c r="Q384" i="2"/>
  <c r="AF383" i="2"/>
  <c r="AH383" i="2" s="1"/>
  <c r="H384" i="2"/>
  <c r="I384" i="2" s="1"/>
  <c r="J384" i="2" s="1"/>
  <c r="L384" i="2"/>
  <c r="M384" i="2" s="1"/>
  <c r="P384" i="2"/>
  <c r="C573" i="2"/>
  <c r="E574" i="2" s="1"/>
  <c r="W384" i="2"/>
  <c r="N384" i="2" l="1"/>
  <c r="F384" i="2" s="1"/>
  <c r="O384" i="2" s="1"/>
  <c r="R384" i="2"/>
  <c r="S384" i="2" s="1"/>
  <c r="T384" i="2"/>
  <c r="U384" i="2" s="1"/>
  <c r="V384" i="2" l="1"/>
  <c r="X384" i="2" s="1"/>
  <c r="Y384" i="2" s="1"/>
  <c r="AA384" i="2" s="1"/>
  <c r="Z384" i="2" l="1"/>
  <c r="AC384" i="2" l="1"/>
  <c r="AB384" i="2"/>
  <c r="G385" i="2" s="1"/>
  <c r="H385" i="2" l="1"/>
  <c r="I385" i="2" s="1"/>
  <c r="J385" i="2" s="1"/>
  <c r="L385" i="2"/>
  <c r="M385" i="2" s="1"/>
  <c r="P385" i="2"/>
  <c r="Q385" i="2"/>
  <c r="AF384" i="2"/>
  <c r="AH384" i="2" s="1"/>
  <c r="C574" i="2"/>
  <c r="E575" i="2" s="1"/>
  <c r="W385" i="2"/>
  <c r="AG384" i="2"/>
  <c r="D574" i="2"/>
  <c r="N385" i="2" l="1"/>
  <c r="F385" i="2" s="1"/>
  <c r="O385" i="2" s="1"/>
  <c r="R385" i="2"/>
  <c r="S385" i="2" s="1"/>
  <c r="T385" i="2"/>
  <c r="U385" i="2" s="1"/>
  <c r="V385" i="2" l="1"/>
  <c r="X385" i="2" s="1"/>
  <c r="Y385" i="2" s="1"/>
  <c r="AA385" i="2" s="1"/>
  <c r="Z385" i="2" l="1"/>
  <c r="AB385" i="2" l="1"/>
  <c r="G386" i="2" s="1"/>
  <c r="AC385" i="2"/>
  <c r="AG385" i="2" l="1"/>
  <c r="D575" i="2"/>
  <c r="Q386" i="2"/>
  <c r="AF385" i="2"/>
  <c r="AH385" i="2" s="1"/>
  <c r="H386" i="2"/>
  <c r="I386" i="2" s="1"/>
  <c r="J386" i="2" s="1"/>
  <c r="L386" i="2"/>
  <c r="M386" i="2" s="1"/>
  <c r="P386" i="2"/>
  <c r="C575" i="2"/>
  <c r="E576" i="2" s="1"/>
  <c r="W386" i="2"/>
  <c r="N386" i="2" l="1"/>
  <c r="F386" i="2" s="1"/>
  <c r="O386" i="2" s="1"/>
  <c r="R386" i="2"/>
  <c r="S386" i="2" s="1"/>
  <c r="T386" i="2"/>
  <c r="U386" i="2" s="1"/>
  <c r="V386" i="2" l="1"/>
  <c r="X386" i="2" s="1"/>
  <c r="Y386" i="2" s="1"/>
  <c r="AA386" i="2" s="1"/>
  <c r="Z386" i="2" l="1"/>
  <c r="AC386" i="2" l="1"/>
  <c r="AB386" i="2"/>
  <c r="G387" i="2" s="1"/>
  <c r="H387" i="2" l="1"/>
  <c r="I387" i="2" s="1"/>
  <c r="J387" i="2" s="1"/>
  <c r="L387" i="2"/>
  <c r="M387" i="2" s="1"/>
  <c r="P387" i="2"/>
  <c r="Q387" i="2"/>
  <c r="AF386" i="2"/>
  <c r="AH386" i="2" s="1"/>
  <c r="C576" i="2"/>
  <c r="E577" i="2" s="1"/>
  <c r="W387" i="2"/>
  <c r="AG386" i="2"/>
  <c r="D576" i="2"/>
  <c r="N387" i="2" l="1"/>
  <c r="F387" i="2" s="1"/>
  <c r="O387" i="2" s="1"/>
  <c r="R387" i="2"/>
  <c r="S387" i="2" s="1"/>
  <c r="T387" i="2"/>
  <c r="U387" i="2" s="1"/>
  <c r="V387" i="2" l="1"/>
  <c r="X387" i="2" s="1"/>
  <c r="Y387" i="2" s="1"/>
  <c r="AA387" i="2" s="1"/>
  <c r="Z387" i="2" l="1"/>
  <c r="AB387" i="2" l="1"/>
  <c r="G388" i="2" s="1"/>
  <c r="AC387" i="2"/>
  <c r="AG387" i="2" l="1"/>
  <c r="D577" i="2"/>
  <c r="Q388" i="2"/>
  <c r="AF387" i="2"/>
  <c r="AH387" i="2" s="1"/>
  <c r="H388" i="2"/>
  <c r="I388" i="2" s="1"/>
  <c r="J388" i="2" s="1"/>
  <c r="L388" i="2"/>
  <c r="M388" i="2" s="1"/>
  <c r="P388" i="2"/>
  <c r="C577" i="2"/>
  <c r="E578" i="2" s="1"/>
  <c r="W388" i="2"/>
  <c r="N388" i="2" l="1"/>
  <c r="F388" i="2" s="1"/>
  <c r="O388" i="2" s="1"/>
  <c r="R388" i="2"/>
  <c r="S388" i="2" s="1"/>
  <c r="T388" i="2" s="1"/>
  <c r="U388" i="2" s="1"/>
  <c r="V388" i="2" l="1"/>
  <c r="X388" i="2" s="1"/>
  <c r="Y388" i="2" s="1"/>
  <c r="AA388" i="2" s="1"/>
  <c r="Z388" i="2" l="1"/>
  <c r="AC388" i="2" l="1"/>
  <c r="AB388" i="2"/>
  <c r="G389" i="2" s="1"/>
  <c r="AG388" i="2" l="1"/>
  <c r="D578" i="2"/>
  <c r="H389" i="2"/>
  <c r="I389" i="2" s="1"/>
  <c r="J389" i="2" s="1"/>
  <c r="L389" i="2"/>
  <c r="M389" i="2" s="1"/>
  <c r="P389" i="2"/>
  <c r="Q389" i="2"/>
  <c r="AF388" i="2"/>
  <c r="AH388" i="2" s="1"/>
  <c r="C578" i="2"/>
  <c r="E579" i="2" s="1"/>
  <c r="W389" i="2"/>
  <c r="N389" i="2" l="1"/>
  <c r="F389" i="2" s="1"/>
  <c r="O389" i="2" s="1"/>
  <c r="R389" i="2"/>
  <c r="S389" i="2" s="1"/>
  <c r="T389" i="2" s="1"/>
  <c r="U389" i="2" s="1"/>
  <c r="V389" i="2" l="1"/>
  <c r="X389" i="2" s="1"/>
  <c r="Y389" i="2" s="1"/>
  <c r="AA389" i="2" s="1"/>
  <c r="Z389" i="2" l="1"/>
  <c r="AB389" i="2" l="1"/>
  <c r="G390" i="2" s="1"/>
  <c r="AC389" i="2"/>
  <c r="AG389" i="2" l="1"/>
  <c r="D579" i="2"/>
  <c r="Q390" i="2"/>
  <c r="AF389" i="2"/>
  <c r="AH389" i="2" s="1"/>
  <c r="H390" i="2"/>
  <c r="I390" i="2" s="1"/>
  <c r="J390" i="2" s="1"/>
  <c r="L390" i="2"/>
  <c r="M390" i="2" s="1"/>
  <c r="P390" i="2"/>
  <c r="C579" i="2"/>
  <c r="E580" i="2" s="1"/>
  <c r="W390" i="2"/>
  <c r="N390" i="2" l="1"/>
  <c r="F390" i="2" s="1"/>
  <c r="O390" i="2" s="1"/>
  <c r="R390" i="2"/>
  <c r="S390" i="2" s="1"/>
  <c r="T390" i="2" s="1"/>
  <c r="U390" i="2" s="1"/>
  <c r="V390" i="2" l="1"/>
  <c r="X390" i="2" s="1"/>
  <c r="Y390" i="2" s="1"/>
  <c r="AA390" i="2" s="1"/>
  <c r="Z390" i="2" l="1"/>
  <c r="AC390" i="2" l="1"/>
  <c r="AB390" i="2"/>
  <c r="G391" i="2" s="1"/>
  <c r="H391" i="2" l="1"/>
  <c r="I391" i="2" s="1"/>
  <c r="J391" i="2" s="1"/>
  <c r="L391" i="2"/>
  <c r="M391" i="2" s="1"/>
  <c r="P391" i="2"/>
  <c r="Q391" i="2"/>
  <c r="AF390" i="2"/>
  <c r="AH390" i="2" s="1"/>
  <c r="C580" i="2"/>
  <c r="E581" i="2" s="1"/>
  <c r="W391" i="2"/>
  <c r="AG390" i="2"/>
  <c r="D580" i="2"/>
  <c r="N391" i="2" l="1"/>
  <c r="F391" i="2" s="1"/>
  <c r="O391" i="2" s="1"/>
  <c r="R391" i="2"/>
  <c r="S391" i="2" s="1"/>
  <c r="T391" i="2"/>
  <c r="U391" i="2" s="1"/>
  <c r="V391" i="2" l="1"/>
  <c r="X391" i="2" s="1"/>
  <c r="Y391" i="2" s="1"/>
  <c r="AA391" i="2" s="1"/>
  <c r="Z391" i="2" l="1"/>
  <c r="AB391" i="2" l="1"/>
  <c r="G392" i="2" s="1"/>
  <c r="AC391" i="2"/>
  <c r="AG391" i="2" l="1"/>
  <c r="D581" i="2"/>
  <c r="Q392" i="2"/>
  <c r="AF391" i="2"/>
  <c r="AH391" i="2" s="1"/>
  <c r="H392" i="2"/>
  <c r="I392" i="2" s="1"/>
  <c r="J392" i="2" s="1"/>
  <c r="L392" i="2"/>
  <c r="M392" i="2" s="1"/>
  <c r="P392" i="2"/>
  <c r="C581" i="2"/>
  <c r="E582" i="2" s="1"/>
  <c r="W392" i="2"/>
  <c r="N392" i="2" l="1"/>
  <c r="F392" i="2" s="1"/>
  <c r="O392" i="2" s="1"/>
  <c r="R392" i="2"/>
  <c r="S392" i="2" s="1"/>
  <c r="T392" i="2" s="1"/>
  <c r="U392" i="2" s="1"/>
  <c r="V392" i="2" l="1"/>
  <c r="X392" i="2" s="1"/>
  <c r="Y392" i="2" s="1"/>
  <c r="AA392" i="2" s="1"/>
  <c r="Z392" i="2" l="1"/>
  <c r="AC392" i="2" l="1"/>
  <c r="AB392" i="2"/>
  <c r="G393" i="2" s="1"/>
  <c r="H393" i="2" l="1"/>
  <c r="I393" i="2" s="1"/>
  <c r="J393" i="2" s="1"/>
  <c r="L393" i="2"/>
  <c r="M393" i="2" s="1"/>
  <c r="P393" i="2"/>
  <c r="Q393" i="2"/>
  <c r="AF392" i="2"/>
  <c r="AH392" i="2" s="1"/>
  <c r="C582" i="2"/>
  <c r="E583" i="2" s="1"/>
  <c r="W393" i="2"/>
  <c r="AG392" i="2"/>
  <c r="D582" i="2"/>
  <c r="N393" i="2" l="1"/>
  <c r="F393" i="2" s="1"/>
  <c r="O393" i="2" s="1"/>
  <c r="R393" i="2"/>
  <c r="S393" i="2" s="1"/>
  <c r="T393" i="2" s="1"/>
  <c r="U393" i="2" s="1"/>
  <c r="V393" i="2" l="1"/>
  <c r="X393" i="2" s="1"/>
  <c r="Y393" i="2" s="1"/>
  <c r="AA393" i="2" s="1"/>
  <c r="Z393" i="2" l="1"/>
  <c r="AB393" i="2" l="1"/>
  <c r="G394" i="2" s="1"/>
  <c r="AC393" i="2"/>
  <c r="AG393" i="2" l="1"/>
  <c r="D583" i="2"/>
  <c r="Q394" i="2"/>
  <c r="AF393" i="2"/>
  <c r="AH393" i="2" s="1"/>
  <c r="H394" i="2"/>
  <c r="I394" i="2" s="1"/>
  <c r="J394" i="2" s="1"/>
  <c r="L394" i="2"/>
  <c r="M394" i="2" s="1"/>
  <c r="P394" i="2"/>
  <c r="C583" i="2"/>
  <c r="E584" i="2" s="1"/>
  <c r="W394" i="2"/>
  <c r="N394" i="2" l="1"/>
  <c r="F394" i="2" s="1"/>
  <c r="O394" i="2" s="1"/>
  <c r="R394" i="2"/>
  <c r="S394" i="2" s="1"/>
  <c r="T394" i="2" s="1"/>
  <c r="U394" i="2" s="1"/>
  <c r="V394" i="2" l="1"/>
  <c r="X394" i="2" s="1"/>
  <c r="Y394" i="2" s="1"/>
  <c r="AA394" i="2" s="1"/>
  <c r="Z394" i="2" l="1"/>
  <c r="AC394" i="2" l="1"/>
  <c r="AB394" i="2"/>
  <c r="G395" i="2" s="1"/>
  <c r="H395" i="2" l="1"/>
  <c r="I395" i="2" s="1"/>
  <c r="J395" i="2" s="1"/>
  <c r="L395" i="2"/>
  <c r="M395" i="2" s="1"/>
  <c r="P395" i="2"/>
  <c r="Q395" i="2"/>
  <c r="AF394" i="2"/>
  <c r="AH394" i="2" s="1"/>
  <c r="C584" i="2"/>
  <c r="E585" i="2" s="1"/>
  <c r="W395" i="2"/>
  <c r="AG394" i="2"/>
  <c r="D584" i="2"/>
  <c r="N395" i="2" l="1"/>
  <c r="F395" i="2" s="1"/>
  <c r="O395" i="2" s="1"/>
  <c r="R395" i="2"/>
  <c r="S395" i="2" s="1"/>
  <c r="T395" i="2" s="1"/>
  <c r="U395" i="2" s="1"/>
  <c r="V395" i="2" l="1"/>
  <c r="X395" i="2" s="1"/>
  <c r="Y395" i="2" s="1"/>
  <c r="AA395" i="2" s="1"/>
  <c r="Z395" i="2" l="1"/>
  <c r="AB395" i="2" l="1"/>
  <c r="G396" i="2" s="1"/>
  <c r="AC395" i="2"/>
  <c r="Q396" i="2" l="1"/>
  <c r="AF395" i="2"/>
  <c r="AH395" i="2" s="1"/>
  <c r="H396" i="2"/>
  <c r="I396" i="2" s="1"/>
  <c r="J396" i="2" s="1"/>
  <c r="L396" i="2"/>
  <c r="M396" i="2" s="1"/>
  <c r="P396" i="2"/>
  <c r="C585" i="2"/>
  <c r="E586" i="2" s="1"/>
  <c r="W396" i="2"/>
  <c r="AG395" i="2"/>
  <c r="D585" i="2"/>
  <c r="N396" i="2" l="1"/>
  <c r="F396" i="2" s="1"/>
  <c r="O396" i="2" s="1"/>
  <c r="R396" i="2"/>
  <c r="S396" i="2" s="1"/>
  <c r="T396" i="2" s="1"/>
  <c r="U396" i="2" s="1"/>
  <c r="V396" i="2" l="1"/>
  <c r="X396" i="2" s="1"/>
  <c r="Y396" i="2" s="1"/>
  <c r="AA396" i="2" s="1"/>
  <c r="Z396" i="2" l="1"/>
  <c r="AC396" i="2" l="1"/>
  <c r="AB396" i="2"/>
  <c r="G397" i="2" s="1"/>
  <c r="H397" i="2" l="1"/>
  <c r="I397" i="2" s="1"/>
  <c r="J397" i="2" s="1"/>
  <c r="L397" i="2"/>
  <c r="M397" i="2" s="1"/>
  <c r="P397" i="2"/>
  <c r="Q397" i="2"/>
  <c r="AF396" i="2"/>
  <c r="AH396" i="2" s="1"/>
  <c r="C586" i="2"/>
  <c r="E587" i="2" s="1"/>
  <c r="W397" i="2"/>
  <c r="AG396" i="2"/>
  <c r="D586" i="2"/>
  <c r="N397" i="2" l="1"/>
  <c r="F397" i="2" s="1"/>
  <c r="O397" i="2" s="1"/>
  <c r="R397" i="2"/>
  <c r="S397" i="2" s="1"/>
  <c r="T397" i="2" s="1"/>
  <c r="U397" i="2" s="1"/>
  <c r="V397" i="2" l="1"/>
  <c r="X397" i="2" s="1"/>
  <c r="Y397" i="2" s="1"/>
  <c r="AA397" i="2" s="1"/>
  <c r="Z397" i="2" l="1"/>
  <c r="AB397" i="2" l="1"/>
  <c r="G398" i="2" s="1"/>
  <c r="AC397" i="2"/>
  <c r="AG397" i="2" l="1"/>
  <c r="D587" i="2"/>
  <c r="Q398" i="2"/>
  <c r="AF397" i="2"/>
  <c r="AH397" i="2" s="1"/>
  <c r="H398" i="2"/>
  <c r="I398" i="2" s="1"/>
  <c r="J398" i="2" s="1"/>
  <c r="L398" i="2"/>
  <c r="M398" i="2" s="1"/>
  <c r="P398" i="2"/>
  <c r="C587" i="2"/>
  <c r="E588" i="2" s="1"/>
  <c r="W398" i="2"/>
  <c r="N398" i="2" l="1"/>
  <c r="F398" i="2" s="1"/>
  <c r="O398" i="2" s="1"/>
  <c r="R398" i="2"/>
  <c r="S398" i="2" s="1"/>
  <c r="T398" i="2" s="1"/>
  <c r="U398" i="2" s="1"/>
  <c r="V398" i="2" l="1"/>
  <c r="X398" i="2" s="1"/>
  <c r="Y398" i="2" s="1"/>
  <c r="AA398" i="2" s="1"/>
  <c r="Z398" i="2" l="1"/>
  <c r="AC398" i="2" l="1"/>
  <c r="AB398" i="2"/>
  <c r="G399" i="2" s="1"/>
  <c r="H399" i="2" l="1"/>
  <c r="I399" i="2" s="1"/>
  <c r="J399" i="2" s="1"/>
  <c r="L399" i="2"/>
  <c r="M399" i="2" s="1"/>
  <c r="P399" i="2"/>
  <c r="Q399" i="2"/>
  <c r="AF398" i="2"/>
  <c r="AH398" i="2" s="1"/>
  <c r="C588" i="2"/>
  <c r="E589" i="2" s="1"/>
  <c r="W399" i="2"/>
  <c r="AG398" i="2"/>
  <c r="D588" i="2"/>
  <c r="N399" i="2" l="1"/>
  <c r="F399" i="2" s="1"/>
  <c r="O399" i="2" s="1"/>
  <c r="R399" i="2"/>
  <c r="S399" i="2" s="1"/>
  <c r="T399" i="2" s="1"/>
  <c r="U399" i="2" s="1"/>
  <c r="V399" i="2" l="1"/>
  <c r="X399" i="2" s="1"/>
  <c r="Y399" i="2" s="1"/>
  <c r="AA399" i="2" s="1"/>
  <c r="Z399" i="2" l="1"/>
  <c r="AB399" i="2" l="1"/>
  <c r="G400" i="2" s="1"/>
  <c r="AC399" i="2"/>
  <c r="AG399" i="2" l="1"/>
  <c r="D589" i="2"/>
  <c r="Q400" i="2"/>
  <c r="AF399" i="2"/>
  <c r="AH399" i="2" s="1"/>
  <c r="H400" i="2"/>
  <c r="I400" i="2" s="1"/>
  <c r="J400" i="2" s="1"/>
  <c r="L400" i="2"/>
  <c r="M400" i="2" s="1"/>
  <c r="P400" i="2"/>
  <c r="C589" i="2"/>
  <c r="E590" i="2" s="1"/>
  <c r="W400" i="2"/>
  <c r="N400" i="2" l="1"/>
  <c r="F400" i="2" s="1"/>
  <c r="O400" i="2" s="1"/>
  <c r="R400" i="2"/>
  <c r="S400" i="2" s="1"/>
  <c r="T400" i="2" s="1"/>
  <c r="U400" i="2" s="1"/>
  <c r="V400" i="2" l="1"/>
  <c r="X400" i="2" s="1"/>
  <c r="Y400" i="2" s="1"/>
  <c r="AA400" i="2" s="1"/>
  <c r="Z400" i="2" l="1"/>
  <c r="AC400" i="2" l="1"/>
  <c r="AB400" i="2"/>
  <c r="G401" i="2" s="1"/>
  <c r="H401" i="2" l="1"/>
  <c r="I401" i="2" s="1"/>
  <c r="J401" i="2" s="1"/>
  <c r="L401" i="2"/>
  <c r="M401" i="2" s="1"/>
  <c r="P401" i="2"/>
  <c r="Q401" i="2"/>
  <c r="AF400" i="2"/>
  <c r="AH400" i="2" s="1"/>
  <c r="C590" i="2"/>
  <c r="E591" i="2" s="1"/>
  <c r="W401" i="2"/>
  <c r="AG400" i="2"/>
  <c r="D590" i="2"/>
  <c r="N401" i="2" l="1"/>
  <c r="F401" i="2" s="1"/>
  <c r="O401" i="2" s="1"/>
  <c r="R401" i="2"/>
  <c r="S401" i="2" s="1"/>
  <c r="T401" i="2" s="1"/>
  <c r="U401" i="2" s="1"/>
  <c r="V401" i="2" l="1"/>
  <c r="X401" i="2" s="1"/>
  <c r="Y401" i="2" s="1"/>
  <c r="AA401" i="2" s="1"/>
  <c r="Z401" i="2" l="1"/>
  <c r="AB401" i="2" l="1"/>
  <c r="G402" i="2" s="1"/>
  <c r="AC401" i="2"/>
  <c r="AG401" i="2" l="1"/>
  <c r="D591" i="2"/>
  <c r="Q402" i="2"/>
  <c r="AF401" i="2"/>
  <c r="AH401" i="2" s="1"/>
  <c r="H402" i="2"/>
  <c r="I402" i="2" s="1"/>
  <c r="J402" i="2" s="1"/>
  <c r="L402" i="2"/>
  <c r="M402" i="2" s="1"/>
  <c r="P402" i="2"/>
  <c r="C591" i="2"/>
  <c r="E592" i="2" s="1"/>
  <c r="W402" i="2"/>
  <c r="N402" i="2" l="1"/>
  <c r="F402" i="2" s="1"/>
  <c r="O402" i="2" s="1"/>
  <c r="R402" i="2"/>
  <c r="S402" i="2" s="1"/>
  <c r="T402" i="2" s="1"/>
  <c r="U402" i="2" s="1"/>
  <c r="V402" i="2" l="1"/>
  <c r="X402" i="2" s="1"/>
  <c r="Y402" i="2" s="1"/>
  <c r="AA402" i="2" s="1"/>
  <c r="Z402" i="2" l="1"/>
  <c r="AC402" i="2" l="1"/>
  <c r="AB402" i="2"/>
  <c r="G403" i="2" s="1"/>
  <c r="H403" i="2" l="1"/>
  <c r="L403" i="2"/>
  <c r="M403" i="2" s="1"/>
  <c r="N403" i="2" s="1"/>
  <c r="P403" i="2"/>
  <c r="B405" i="2"/>
  <c r="E405" i="2" s="1"/>
  <c r="Q403" i="2"/>
  <c r="U403" i="2" s="1"/>
  <c r="AF402" i="2"/>
  <c r="AH402" i="2" s="1"/>
  <c r="B20" i="3"/>
  <c r="C592" i="2"/>
  <c r="W403" i="2"/>
  <c r="B539" i="2"/>
  <c r="AG402" i="2"/>
  <c r="D592" i="2"/>
  <c r="V403" i="2" l="1"/>
  <c r="X403" i="2" s="1"/>
  <c r="Y403" i="2" s="1"/>
  <c r="AA403" i="2" s="1"/>
  <c r="I403" i="2"/>
  <c r="J403" i="2" s="1"/>
  <c r="O403" i="2" s="1"/>
  <c r="B415" i="2" s="1"/>
  <c r="E415" i="2" s="1"/>
  <c r="Z403" i="2" l="1"/>
  <c r="AB403" i="2" l="1"/>
  <c r="AC403" i="2"/>
  <c r="B408" i="2" s="1"/>
  <c r="C512" i="2" l="1"/>
  <c r="B413" i="2"/>
  <c r="B440" i="2" l="1"/>
  <c r="B441" i="2" s="1"/>
  <c r="D413" i="2"/>
  <c r="K453" i="2" l="1"/>
  <c r="L453" i="2" s="1"/>
  <c r="N453" i="2"/>
  <c r="AW472" i="2"/>
  <c r="AX472" i="2" s="1"/>
  <c r="AZ472" i="2" s="1"/>
  <c r="O453" i="2" l="1"/>
  <c r="H453" i="2" s="1"/>
  <c r="P453" i="2" s="1"/>
  <c r="C454" i="2" s="1"/>
  <c r="S453" i="2"/>
  <c r="T453" i="2" s="1"/>
  <c r="U453" i="2"/>
  <c r="V453" i="2" s="1"/>
  <c r="W453" i="2" s="1"/>
  <c r="BE473" i="2"/>
  <c r="BA472" i="2"/>
  <c r="AT472" i="2" s="1"/>
  <c r="BB472" i="2" s="1"/>
  <c r="F473" i="2" s="1"/>
  <c r="AB453" i="2" l="1"/>
  <c r="AH453" i="2" s="1"/>
  <c r="AM453" i="2" s="1"/>
  <c r="AG453" i="2"/>
  <c r="BC473" i="2"/>
  <c r="BD473" i="2"/>
  <c r="AU473" i="2"/>
  <c r="AR453" i="2" l="1"/>
  <c r="AN453" i="2"/>
  <c r="AP453" i="2" s="1"/>
  <c r="AO453" i="2"/>
  <c r="AW473" i="2"/>
  <c r="AX473" i="2" s="1"/>
  <c r="AZ473" i="2" s="1"/>
  <c r="AQ453" i="2"/>
  <c r="AI453" i="2"/>
  <c r="AJ453" i="2" s="1"/>
  <c r="AK453" i="2" s="1"/>
  <c r="AL453" i="2" s="1"/>
  <c r="BA473" i="2" l="1"/>
  <c r="AT473" i="2" s="1"/>
  <c r="BB473" i="2" s="1"/>
  <c r="F474" i="2" s="1"/>
  <c r="BE474" i="2"/>
  <c r="AS453" i="2"/>
  <c r="AU453" i="2" s="1"/>
  <c r="AW453" i="2" s="1"/>
  <c r="AT453" i="2"/>
  <c r="AV453" i="2"/>
  <c r="E454" i="2" l="1"/>
  <c r="X454" i="2"/>
  <c r="AX453" i="2"/>
  <c r="AZ453" i="2" s="1"/>
  <c r="AY453" i="2"/>
  <c r="BA453" i="2"/>
  <c r="BF473" i="2"/>
  <c r="BG473" i="2" s="1"/>
  <c r="BH473" i="2" s="1"/>
  <c r="BI473" i="2" s="1"/>
  <c r="AC454" i="2" l="1"/>
  <c r="Y454" i="2"/>
  <c r="AA454" i="2" s="1"/>
  <c r="Z454" i="2"/>
  <c r="CC473" i="2"/>
  <c r="CG473" i="2"/>
  <c r="BB453" i="2"/>
  <c r="AD454" i="2" l="1"/>
  <c r="AE454" i="2"/>
  <c r="BC453" i="2"/>
  <c r="B454" i="2" s="1"/>
  <c r="D454" i="2"/>
  <c r="CH473" i="2"/>
  <c r="M454" i="2" l="1"/>
  <c r="N454" i="2" s="1"/>
  <c r="Q454" i="2"/>
  <c r="R454" i="2"/>
  <c r="BZ474" i="2"/>
  <c r="DK473" i="2"/>
  <c r="CJ473" i="2"/>
  <c r="CI473" i="2"/>
  <c r="CK473" i="2"/>
  <c r="AF454" i="2"/>
  <c r="J454" i="2"/>
  <c r="K454" i="2" s="1"/>
  <c r="L454" i="2" s="1"/>
  <c r="CL473" i="2" l="1"/>
  <c r="CM473" i="2" s="1"/>
  <c r="DO473" i="2"/>
  <c r="DL473" i="2"/>
  <c r="DM473" i="2"/>
  <c r="DN473" i="2"/>
  <c r="CD474" i="2"/>
  <c r="O454" i="2"/>
  <c r="H454" i="2" s="1"/>
  <c r="P454" i="2" s="1"/>
  <c r="C455" i="2" s="1"/>
  <c r="S454" i="2"/>
  <c r="T454" i="2" s="1"/>
  <c r="U454" i="2"/>
  <c r="V454" i="2" s="1"/>
  <c r="W454" i="2" s="1"/>
  <c r="AB454" i="2" l="1"/>
  <c r="AH454" i="2" s="1"/>
  <c r="AM454" i="2" s="1"/>
  <c r="AG454" i="2"/>
  <c r="DP473" i="2"/>
  <c r="DS473" i="2" s="1"/>
  <c r="DQ473" i="2"/>
  <c r="DR473" i="2"/>
  <c r="CN473" i="2"/>
  <c r="DU473" i="2" l="1"/>
  <c r="DT473" i="2"/>
  <c r="DV473" i="2"/>
  <c r="AR454" i="2"/>
  <c r="AN454" i="2"/>
  <c r="AP454" i="2" s="1"/>
  <c r="AO454" i="2"/>
  <c r="AQ454" i="2"/>
  <c r="AI454" i="2"/>
  <c r="AJ454" i="2" s="1"/>
  <c r="AK454" i="2" s="1"/>
  <c r="AL454" i="2" s="1"/>
  <c r="E474" i="2"/>
  <c r="CO473" i="2"/>
  <c r="AY474" i="2" l="1"/>
  <c r="AV474" i="2"/>
  <c r="BD474" i="2"/>
  <c r="BC474" i="2"/>
  <c r="AS454" i="2"/>
  <c r="AU454" i="2" s="1"/>
  <c r="AW454" i="2" s="1"/>
  <c r="AT454" i="2"/>
  <c r="AV454" i="2"/>
  <c r="DW473" i="2"/>
  <c r="DX473" i="2" s="1"/>
  <c r="E455" i="2" l="1"/>
  <c r="X455" i="2"/>
  <c r="AX454" i="2"/>
  <c r="AZ454" i="2" s="1"/>
  <c r="AY454" i="2"/>
  <c r="BA454" i="2"/>
  <c r="DY473" i="2"/>
  <c r="DZ473" i="2" s="1"/>
  <c r="G474" i="2"/>
  <c r="AU474" i="2" s="1"/>
  <c r="BB454" i="2" l="1"/>
  <c r="AW474" i="2"/>
  <c r="AX474" i="2" s="1"/>
  <c r="AZ474" i="2" s="1"/>
  <c r="AC455" i="2"/>
  <c r="Y455" i="2"/>
  <c r="AA455" i="2" s="1"/>
  <c r="Z455" i="2"/>
  <c r="BE475" i="2" l="1"/>
  <c r="BA474" i="2"/>
  <c r="AT474" i="2" s="1"/>
  <c r="BB474" i="2" s="1"/>
  <c r="F475" i="2" s="1"/>
  <c r="AD455" i="2"/>
  <c r="AE455" i="2"/>
  <c r="D455" i="2"/>
  <c r="BC454" i="2"/>
  <c r="B455" i="2" s="1"/>
  <c r="BF474" i="2" l="1"/>
  <c r="BG474" i="2" s="1"/>
  <c r="BH474" i="2" s="1"/>
  <c r="BI474" i="2" s="1"/>
  <c r="M455" i="2"/>
  <c r="N455" i="2" s="1"/>
  <c r="R455" i="2"/>
  <c r="Q455" i="2"/>
  <c r="AF455" i="2"/>
  <c r="J455" i="2"/>
  <c r="K455" i="2" s="1"/>
  <c r="L455" i="2" s="1"/>
  <c r="U455" i="2" l="1"/>
  <c r="V455" i="2" s="1"/>
  <c r="W455" i="2" s="1"/>
  <c r="O455" i="2"/>
  <c r="H455" i="2" s="1"/>
  <c r="P455" i="2" s="1"/>
  <c r="C456" i="2" s="1"/>
  <c r="S455" i="2"/>
  <c r="T455" i="2" s="1"/>
  <c r="CC474" i="2"/>
  <c r="CG474" i="2"/>
  <c r="AG455" i="2" l="1"/>
  <c r="AB455" i="2"/>
  <c r="AH455" i="2" s="1"/>
  <c r="AM455" i="2" s="1"/>
  <c r="AQ455" i="2" s="1"/>
  <c r="AR455" i="2" l="1"/>
  <c r="AN455" i="2"/>
  <c r="AP455" i="2" s="1"/>
  <c r="AO455" i="2"/>
  <c r="AI455" i="2"/>
  <c r="AJ455" i="2" s="1"/>
  <c r="AK455" i="2" s="1"/>
  <c r="AL455" i="2" s="1"/>
  <c r="AS455" i="2" l="1"/>
  <c r="AU455" i="2" s="1"/>
  <c r="AW455" i="2" s="1"/>
  <c r="AT455" i="2"/>
  <c r="AV455" i="2"/>
  <c r="X456" i="2" l="1"/>
  <c r="E456" i="2"/>
  <c r="AX455" i="2"/>
  <c r="AZ455" i="2" s="1"/>
  <c r="AY455" i="2"/>
  <c r="BA455" i="2"/>
  <c r="BB455" i="2" l="1"/>
  <c r="AC456" i="2"/>
  <c r="Y456" i="2"/>
  <c r="Z456" i="2"/>
  <c r="AD456" i="2" l="1"/>
  <c r="AE456" i="2"/>
  <c r="D456" i="2"/>
  <c r="BC455" i="2"/>
  <c r="B456" i="2" s="1"/>
  <c r="AA456" i="2"/>
  <c r="M456" i="2" l="1"/>
  <c r="N456" i="2" s="1"/>
  <c r="Q456" i="2"/>
  <c r="R456" i="2"/>
  <c r="J456" i="2"/>
  <c r="K456" i="2" s="1"/>
  <c r="L456" i="2" s="1"/>
  <c r="AF456" i="2"/>
  <c r="U456" i="2" l="1"/>
  <c r="V456" i="2" s="1"/>
  <c r="W456" i="2" s="1"/>
  <c r="O456" i="2"/>
  <c r="H456" i="2" s="1"/>
  <c r="P456" i="2" s="1"/>
  <c r="C457" i="2" s="1"/>
  <c r="S456" i="2"/>
  <c r="T456" i="2" s="1"/>
  <c r="AB456" i="2" l="1"/>
  <c r="AH456" i="2" s="1"/>
  <c r="AM456" i="2" s="1"/>
  <c r="AG456" i="2"/>
  <c r="AR456" i="2" l="1"/>
  <c r="AN456" i="2"/>
  <c r="AP456" i="2" s="1"/>
  <c r="AO456" i="2"/>
  <c r="AI456" i="2"/>
  <c r="AJ456" i="2" s="1"/>
  <c r="AK456" i="2" s="1"/>
  <c r="AL456" i="2" s="1"/>
  <c r="AQ456" i="2"/>
  <c r="AS456" i="2" l="1"/>
  <c r="AU456" i="2" s="1"/>
  <c r="AW456" i="2" s="1"/>
  <c r="AT456" i="2"/>
  <c r="AV456" i="2"/>
  <c r="X457" i="2" l="1"/>
  <c r="E457" i="2"/>
  <c r="AX456" i="2"/>
  <c r="AZ456" i="2" s="1"/>
  <c r="AY456" i="2"/>
  <c r="BA456" i="2"/>
  <c r="BB456" i="2" l="1"/>
  <c r="AC457" i="2"/>
  <c r="Y457" i="2"/>
  <c r="Z457" i="2"/>
  <c r="AD457" i="2" l="1"/>
  <c r="AE457" i="2"/>
  <c r="D457" i="2"/>
  <c r="BC456" i="2"/>
  <c r="B457" i="2" s="1"/>
  <c r="AA457" i="2"/>
  <c r="M457" i="2" l="1"/>
  <c r="N457" i="2" s="1"/>
  <c r="Q457" i="2"/>
  <c r="R457" i="2"/>
  <c r="J457" i="2"/>
  <c r="K457" i="2" s="1"/>
  <c r="L457" i="2" s="1"/>
  <c r="AF457" i="2"/>
  <c r="O457" i="2" l="1"/>
  <c r="H457" i="2" s="1"/>
  <c r="P457" i="2" s="1"/>
  <c r="C458" i="2" s="1"/>
  <c r="S457" i="2"/>
  <c r="T457" i="2" s="1"/>
  <c r="U457" i="2"/>
  <c r="V457" i="2" s="1"/>
  <c r="W457" i="2" s="1"/>
  <c r="AB457" i="2" l="1"/>
  <c r="AG457" i="2"/>
  <c r="AH457" i="2" l="1"/>
  <c r="AM457" i="2" l="1"/>
  <c r="AH458" i="2"/>
  <c r="AI457" i="2"/>
  <c r="AJ457" i="2" s="1"/>
  <c r="AK457" i="2" s="1"/>
  <c r="AK458" i="2" l="1"/>
  <c r="AL457" i="2"/>
  <c r="AL458" i="2" s="1"/>
  <c r="AM458" i="2"/>
  <c r="AR457" i="2"/>
  <c r="AN457" i="2"/>
  <c r="AP457" i="2" s="1"/>
  <c r="AO457" i="2"/>
  <c r="AQ457" i="2"/>
  <c r="AR458" i="2" l="1"/>
  <c r="AS457" i="2"/>
  <c r="AU457" i="2" s="1"/>
  <c r="AW457" i="2" s="1"/>
  <c r="AT457" i="2"/>
  <c r="AV457" i="2"/>
  <c r="E458" i="2" l="1"/>
  <c r="AW458" i="2"/>
  <c r="X458" i="2"/>
  <c r="AC458" i="2" s="1"/>
  <c r="AX457" i="2"/>
  <c r="AZ457" i="2" s="1"/>
  <c r="AY457" i="2"/>
  <c r="BA457" i="2"/>
  <c r="BB457" i="2" l="1"/>
  <c r="E459" i="2"/>
  <c r="X459" i="2"/>
  <c r="AC459" i="2" l="1"/>
  <c r="Y459" i="2"/>
  <c r="AA459" i="2" s="1"/>
  <c r="Z459" i="2"/>
  <c r="BC457" i="2"/>
  <c r="D458" i="2"/>
  <c r="AJ458" i="2" l="1"/>
  <c r="J458" i="2"/>
  <c r="AD459" i="2"/>
  <c r="AF459" i="2" s="1"/>
  <c r="AE459" i="2"/>
  <c r="BC458" i="2"/>
  <c r="B459" i="2" s="1"/>
  <c r="B458" i="2"/>
  <c r="M459" i="2" l="1"/>
  <c r="N459" i="2" s="1"/>
  <c r="M458" i="2"/>
  <c r="N458" i="2" s="1"/>
  <c r="O458" i="2" s="1"/>
  <c r="Q458" i="2"/>
  <c r="R458" i="2"/>
  <c r="V458" i="2" s="1"/>
  <c r="W458" i="2" s="1"/>
  <c r="P458" i="2"/>
  <c r="C459" i="2" s="1"/>
  <c r="K458" i="2"/>
  <c r="L458" i="2" s="1"/>
  <c r="AB458" i="2" l="1"/>
  <c r="BA458" i="2"/>
  <c r="BB458" i="2" s="1"/>
  <c r="D459" i="2" s="1"/>
  <c r="AG458" i="2"/>
  <c r="R459" i="2"/>
  <c r="Q459" i="2"/>
  <c r="U459" i="2" s="1"/>
  <c r="V459" i="2" s="1"/>
  <c r="W459" i="2" s="1"/>
  <c r="O459" i="2"/>
  <c r="H459" i="2" s="1"/>
  <c r="S459" i="2"/>
  <c r="T459" i="2" s="1"/>
  <c r="AB459" i="2" l="1"/>
  <c r="AH459" i="2" s="1"/>
  <c r="AM459" i="2" s="1"/>
  <c r="AG459" i="2"/>
  <c r="J459" i="2"/>
  <c r="K459" i="2" s="1"/>
  <c r="L459" i="2" s="1"/>
  <c r="AR459" i="2" l="1"/>
  <c r="AN459" i="2"/>
  <c r="AO459" i="2"/>
  <c r="AQ459" i="2"/>
  <c r="P459" i="2"/>
  <c r="C460" i="2" s="1"/>
  <c r="AI459" i="2"/>
  <c r="AJ459" i="2" s="1"/>
  <c r="AK459" i="2" s="1"/>
  <c r="AL459" i="2" s="1"/>
  <c r="AP459" i="2" l="1"/>
  <c r="AS459" i="2"/>
  <c r="AU459" i="2" s="1"/>
  <c r="AT459" i="2"/>
  <c r="AV459" i="2"/>
  <c r="AW459" i="2" l="1"/>
  <c r="E460" i="2" l="1"/>
  <c r="X460" i="2"/>
  <c r="AX459" i="2"/>
  <c r="AZ459" i="2" s="1"/>
  <c r="AY459" i="2"/>
  <c r="BA459" i="2"/>
  <c r="AC460" i="2" l="1"/>
  <c r="Y460" i="2"/>
  <c r="AA460" i="2" s="1"/>
  <c r="Z460" i="2"/>
  <c r="BB459" i="2"/>
  <c r="D460" i="2" l="1"/>
  <c r="BC459" i="2"/>
  <c r="B460" i="2" s="1"/>
  <c r="AD460" i="2"/>
  <c r="AF460" i="2" s="1"/>
  <c r="AE460" i="2"/>
  <c r="M460" i="2" l="1"/>
  <c r="N460" i="2" s="1"/>
  <c r="Q460" i="2"/>
  <c r="R460" i="2"/>
  <c r="J460" i="2"/>
  <c r="K460" i="2" s="1"/>
  <c r="L460" i="2" s="1"/>
  <c r="U460" i="2" l="1"/>
  <c r="V460" i="2" s="1"/>
  <c r="W460" i="2" s="1"/>
  <c r="O460" i="2"/>
  <c r="H460" i="2" s="1"/>
  <c r="P460" i="2" s="1"/>
  <c r="C461" i="2" s="1"/>
  <c r="S460" i="2"/>
  <c r="T460" i="2" s="1"/>
  <c r="AG460" i="2" l="1"/>
  <c r="AB460" i="2"/>
  <c r="AH460" i="2" s="1"/>
  <c r="AM460" i="2" s="1"/>
  <c r="AQ460" i="2" s="1"/>
  <c r="AI460" i="2" l="1"/>
  <c r="AJ460" i="2" s="1"/>
  <c r="AK460" i="2" s="1"/>
  <c r="AL460" i="2" s="1"/>
  <c r="AR460" i="2"/>
  <c r="AN460" i="2"/>
  <c r="AO460" i="2"/>
  <c r="AP460" i="2" l="1"/>
  <c r="AS460" i="2"/>
  <c r="AU460" i="2" s="1"/>
  <c r="AT460" i="2"/>
  <c r="AV460" i="2"/>
  <c r="AW460" i="2" l="1"/>
  <c r="X461" i="2" l="1"/>
  <c r="E461" i="2"/>
  <c r="AX460" i="2"/>
  <c r="AY460" i="2"/>
  <c r="BA460" i="2"/>
  <c r="AZ460" i="2" l="1"/>
  <c r="BB460" i="2"/>
  <c r="AC461" i="2"/>
  <c r="Y461" i="2"/>
  <c r="Z461" i="2"/>
  <c r="AD461" i="2" l="1"/>
  <c r="AF461" i="2" s="1"/>
  <c r="AE461" i="2"/>
  <c r="D461" i="2"/>
  <c r="BC460" i="2"/>
  <c r="B461" i="2" s="1"/>
  <c r="AA461" i="2"/>
  <c r="M461" i="2" l="1"/>
  <c r="N461" i="2" s="1"/>
  <c r="Q461" i="2"/>
  <c r="R461" i="2"/>
  <c r="J461" i="2"/>
  <c r="K461" i="2" s="1"/>
  <c r="L461" i="2" s="1"/>
  <c r="U461" i="2" l="1"/>
  <c r="V461" i="2" s="1"/>
  <c r="W461" i="2" s="1"/>
  <c r="O461" i="2"/>
  <c r="H461" i="2" s="1"/>
  <c r="P461" i="2" s="1"/>
  <c r="C462" i="2" s="1"/>
  <c r="S461" i="2"/>
  <c r="T461" i="2" s="1"/>
  <c r="AB461" i="2" l="1"/>
  <c r="AH461" i="2" s="1"/>
  <c r="AM461" i="2" s="1"/>
  <c r="AG461" i="2"/>
  <c r="AR461" i="2" l="1"/>
  <c r="AN461" i="2"/>
  <c r="AP461" i="2" s="1"/>
  <c r="AO461" i="2"/>
  <c r="AI461" i="2"/>
  <c r="AJ461" i="2" s="1"/>
  <c r="AK461" i="2" s="1"/>
  <c r="AL461" i="2" s="1"/>
  <c r="AQ461" i="2"/>
  <c r="AS461" i="2" l="1"/>
  <c r="AT461" i="2"/>
  <c r="AV461" i="2"/>
  <c r="AU461" i="2" l="1"/>
  <c r="AW461" i="2" s="1"/>
  <c r="X462" i="2" l="1"/>
  <c r="E462" i="2"/>
  <c r="AX461" i="2"/>
  <c r="AZ461" i="2" s="1"/>
  <c r="AY461" i="2"/>
  <c r="BA461" i="2"/>
  <c r="BB461" i="2" s="1"/>
  <c r="D462" i="2" l="1"/>
  <c r="BC461" i="2"/>
  <c r="B462" i="2" s="1"/>
  <c r="AC462" i="2"/>
  <c r="Y462" i="2"/>
  <c r="Z462" i="2"/>
  <c r="AA462" i="2" l="1"/>
  <c r="M462" i="2"/>
  <c r="N462" i="2" s="1"/>
  <c r="Q462" i="2"/>
  <c r="R462" i="2"/>
  <c r="J462" i="2"/>
  <c r="K462" i="2" s="1"/>
  <c r="L462" i="2" s="1"/>
  <c r="AD462" i="2"/>
  <c r="AE462" i="2"/>
  <c r="O462" i="2" l="1"/>
  <c r="H462" i="2" s="1"/>
  <c r="P462" i="2" s="1"/>
  <c r="C463" i="2" s="1"/>
  <c r="S462" i="2"/>
  <c r="T462" i="2" s="1"/>
  <c r="U462" i="2"/>
  <c r="V462" i="2" s="1"/>
  <c r="W462" i="2" s="1"/>
  <c r="AF462" i="2"/>
  <c r="AB462" i="2" l="1"/>
  <c r="AH462" i="2" s="1"/>
  <c r="AM462" i="2" s="1"/>
  <c r="AG462" i="2"/>
  <c r="AR462" i="2" l="1"/>
  <c r="AN462" i="2"/>
  <c r="AP462" i="2" s="1"/>
  <c r="AO462" i="2"/>
  <c r="AQ462" i="2"/>
  <c r="AI462" i="2"/>
  <c r="AJ462" i="2" s="1"/>
  <c r="AK462" i="2" s="1"/>
  <c r="AL462" i="2" s="1"/>
  <c r="AS462" i="2" l="1"/>
  <c r="AU462" i="2" s="1"/>
  <c r="AW462" i="2" s="1"/>
  <c r="AT462" i="2"/>
  <c r="AV462" i="2"/>
  <c r="E463" i="2" l="1"/>
  <c r="X463" i="2"/>
  <c r="AX462" i="2"/>
  <c r="AZ462" i="2" s="1"/>
  <c r="AY462" i="2"/>
  <c r="BA462" i="2"/>
  <c r="AC463" i="2" l="1"/>
  <c r="Y463" i="2"/>
  <c r="AA463" i="2" s="1"/>
  <c r="Z463" i="2"/>
  <c r="BB462" i="2"/>
  <c r="AD463" i="2" l="1"/>
  <c r="AF463" i="2" s="1"/>
  <c r="AE463" i="2"/>
  <c r="BC462" i="2"/>
  <c r="B463" i="2" s="1"/>
  <c r="D463" i="2"/>
  <c r="M463" i="2" l="1"/>
  <c r="N463" i="2" s="1"/>
  <c r="R463" i="2"/>
  <c r="Q463" i="2"/>
  <c r="J463" i="2"/>
  <c r="K463" i="2" s="1"/>
  <c r="L463" i="2" s="1"/>
  <c r="O463" i="2" l="1"/>
  <c r="H463" i="2" s="1"/>
  <c r="P463" i="2" s="1"/>
  <c r="C464" i="2" s="1"/>
  <c r="C472" i="2" s="1"/>
  <c r="S463" i="2"/>
  <c r="T463" i="2" s="1"/>
  <c r="U463" i="2"/>
  <c r="V463" i="2" s="1"/>
  <c r="W463" i="2" s="1"/>
  <c r="AB463" i="2" l="1"/>
  <c r="AH463" i="2" s="1"/>
  <c r="AM463" i="2" s="1"/>
  <c r="AG463" i="2"/>
  <c r="AR463" i="2" l="1"/>
  <c r="AN463" i="2"/>
  <c r="AP463" i="2" s="1"/>
  <c r="AO463" i="2"/>
  <c r="AQ463" i="2"/>
  <c r="AI463" i="2"/>
  <c r="AJ463" i="2" s="1"/>
  <c r="AK463" i="2" s="1"/>
  <c r="AL463" i="2" s="1"/>
  <c r="AS463" i="2" l="1"/>
  <c r="AU463" i="2" s="1"/>
  <c r="AW463" i="2" s="1"/>
  <c r="AT463" i="2"/>
  <c r="AV463" i="2"/>
  <c r="AX463" i="2" l="1"/>
  <c r="AY463" i="2"/>
  <c r="BA463" i="2"/>
  <c r="C522" i="2" l="1"/>
  <c r="B556" i="2" s="1"/>
  <c r="BA464" i="2"/>
  <c r="AZ463" i="2"/>
  <c r="AZ464" i="2" s="1"/>
  <c r="BB463" i="2" l="1"/>
  <c r="D464" i="2" l="1"/>
  <c r="D472" i="2" s="1"/>
  <c r="BC463" i="2"/>
  <c r="B464" i="2" s="1"/>
  <c r="B472" i="2" l="1"/>
  <c r="DH472" i="2"/>
  <c r="BW472" i="2"/>
  <c r="AD472" i="2"/>
  <c r="D473" i="2" l="1"/>
  <c r="BX472" i="2"/>
  <c r="B473" i="2" s="1"/>
  <c r="DI472" i="2"/>
  <c r="AF472" i="2"/>
  <c r="AG472" i="2" s="1"/>
  <c r="AI472" i="2" s="1"/>
  <c r="AJ472" i="2" s="1"/>
  <c r="AC472" i="2" s="1"/>
  <c r="AK472" i="2" s="1"/>
  <c r="C473" i="2" s="1"/>
  <c r="AE472" i="2"/>
  <c r="DJ471" i="2"/>
  <c r="BJ473" i="2"/>
  <c r="BY471" i="2"/>
  <c r="BY472" i="2" s="1"/>
  <c r="AH472" i="2"/>
  <c r="AL472" i="2"/>
  <c r="AM472" i="2"/>
  <c r="AQ472" i="2" s="1"/>
  <c r="AR472" i="2" s="1"/>
  <c r="AL473" i="2" l="1"/>
  <c r="AM473" i="2"/>
  <c r="DJ472" i="2"/>
  <c r="AH473" i="2"/>
  <c r="AE473" i="2"/>
  <c r="BN473" i="2"/>
  <c r="BK473" i="2"/>
  <c r="BL473" i="2"/>
  <c r="AD473" i="2"/>
  <c r="AF473" i="2" l="1"/>
  <c r="AG473" i="2" s="1"/>
  <c r="AI473" i="2" s="1"/>
  <c r="BO473" i="2"/>
  <c r="BP473" i="2"/>
  <c r="AJ473" i="2" l="1"/>
  <c r="AC473" i="2" s="1"/>
  <c r="AK473" i="2" s="1"/>
  <c r="C474" i="2" s="1"/>
  <c r="AP473" i="2"/>
  <c r="AQ473" i="2" s="1"/>
  <c r="AR473" i="2" s="1"/>
  <c r="BM473" i="2" l="1"/>
  <c r="BQ473" i="2"/>
  <c r="BR473" i="2" l="1"/>
  <c r="CU473" i="2" l="1"/>
  <c r="BJ474" i="2"/>
  <c r="BT473" i="2"/>
  <c r="BS473" i="2"/>
  <c r="BU473" i="2"/>
  <c r="BN474" i="2" l="1"/>
  <c r="BV473" i="2"/>
  <c r="CY473" i="2"/>
  <c r="CR473" i="2" l="1"/>
  <c r="CS473" i="2" s="1"/>
  <c r="CT473" i="2" s="1"/>
  <c r="BW473" i="2"/>
  <c r="BX473" i="2" l="1"/>
  <c r="D474" i="2"/>
  <c r="CZ473" i="2"/>
  <c r="CV473" i="2"/>
  <c r="EA473" i="2"/>
  <c r="DA473" i="2"/>
  <c r="CW473" i="2"/>
  <c r="EB473" i="2"/>
  <c r="AD474" i="2" l="1"/>
  <c r="B474" i="2"/>
  <c r="BY473" i="2"/>
  <c r="AF474" i="2" l="1"/>
  <c r="AG474" i="2" s="1"/>
  <c r="AI474" i="2" s="1"/>
  <c r="AH474" i="2"/>
  <c r="AE474" i="2"/>
  <c r="AL474" i="2"/>
  <c r="AM474" i="2"/>
  <c r="CX473" i="2"/>
  <c r="DB473" i="2"/>
  <c r="AJ474" i="2" l="1"/>
  <c r="AC474" i="2" s="1"/>
  <c r="AK474" i="2" s="1"/>
  <c r="C475" i="2" s="1"/>
  <c r="AP474" i="2"/>
  <c r="AQ474" i="2" s="1"/>
  <c r="AR474" i="2" s="1"/>
  <c r="DC473" i="2"/>
  <c r="DF473" i="2" l="1"/>
  <c r="DD473" i="2"/>
  <c r="DE473" i="2"/>
  <c r="BM474" i="2"/>
  <c r="BQ474" i="2"/>
  <c r="DG473" i="2" l="1"/>
  <c r="DH473" i="2" l="1"/>
  <c r="EC473" i="2"/>
  <c r="ED473" i="2" s="1"/>
  <c r="EE473" i="2" l="1"/>
  <c r="I474" i="2"/>
  <c r="DI473" i="2"/>
  <c r="DJ473" i="2" s="1"/>
  <c r="L474" i="2" l="1"/>
  <c r="Q474" i="2"/>
  <c r="U474" i="2"/>
  <c r="V474" i="2"/>
  <c r="F605" i="2"/>
  <c r="CB474" i="2"/>
  <c r="BL474" i="2"/>
  <c r="CF474" i="2"/>
  <c r="BP474" i="2"/>
  <c r="CP474" i="2"/>
  <c r="M474" i="2" l="1"/>
  <c r="N474" i="2"/>
  <c r="AN483" i="2" s="1"/>
  <c r="AO483" i="2" s="1"/>
  <c r="O474" i="2" l="1"/>
  <c r="P474" i="2" s="1"/>
  <c r="R474" i="2" s="1"/>
  <c r="S474" i="2" l="1"/>
  <c r="K474" i="2" s="1"/>
  <c r="T474" i="2" s="1"/>
  <c r="W474" i="2"/>
  <c r="X474" i="2" s="1"/>
  <c r="Y474" i="2" s="1"/>
  <c r="Z474" i="2" s="1"/>
  <c r="CQ474" i="2" l="1"/>
  <c r="AA474" i="2"/>
  <c r="CA474" i="2" l="1"/>
  <c r="CH474" i="2" s="1"/>
  <c r="BK474" i="2"/>
  <c r="BR474" i="2" s="1"/>
  <c r="CE474" i="2"/>
  <c r="BO474" i="2"/>
  <c r="CU474" i="2" l="1"/>
  <c r="BJ475" i="2"/>
  <c r="BU474" i="2"/>
  <c r="BS474" i="2"/>
  <c r="BT474" i="2"/>
  <c r="DK474" i="2"/>
  <c r="BZ475" i="2"/>
  <c r="CK474" i="2"/>
  <c r="CI474" i="2"/>
  <c r="CJ474" i="2"/>
  <c r="CD475" i="2" l="1"/>
  <c r="BV474" i="2"/>
  <c r="BW474" i="2" s="1"/>
  <c r="DO474" i="2"/>
  <c r="DN474" i="2"/>
  <c r="DM474" i="2"/>
  <c r="DL474" i="2"/>
  <c r="BN475" i="2"/>
  <c r="CL474" i="2"/>
  <c r="CM474" i="2" s="1"/>
  <c r="CY474" i="2"/>
  <c r="D475" i="2" l="1"/>
  <c r="BX474" i="2"/>
  <c r="CN474" i="2"/>
  <c r="DR474" i="2"/>
  <c r="DQ474" i="2"/>
  <c r="DP474" i="2"/>
  <c r="DS474" i="2" s="1"/>
  <c r="CR474" i="2"/>
  <c r="CS474" i="2" s="1"/>
  <c r="CT474" i="2" s="1"/>
  <c r="DV474" i="2" l="1"/>
  <c r="DT474" i="2"/>
  <c r="DU474" i="2"/>
  <c r="B475" i="2"/>
  <c r="BY474" i="2"/>
  <c r="CV474" i="2"/>
  <c r="CZ474" i="2"/>
  <c r="EA474" i="2"/>
  <c r="CW474" i="2"/>
  <c r="DA474" i="2"/>
  <c r="EB474" i="2"/>
  <c r="AD475" i="2"/>
  <c r="E475" i="2"/>
  <c r="CO474" i="2"/>
  <c r="AF475" i="2" l="1"/>
  <c r="AG475" i="2" s="1"/>
  <c r="AI475" i="2" s="1"/>
  <c r="AY475" i="2"/>
  <c r="AV475" i="2"/>
  <c r="BD475" i="2"/>
  <c r="BC475" i="2"/>
  <c r="AH475" i="2"/>
  <c r="AE475" i="2"/>
  <c r="AL475" i="2"/>
  <c r="AM475" i="2"/>
  <c r="DW474" i="2"/>
  <c r="DX474" i="2" s="1"/>
  <c r="CX474" i="2"/>
  <c r="DC474" i="2" s="1"/>
  <c r="DB474" i="2"/>
  <c r="DF474" i="2" l="1"/>
  <c r="DE474" i="2"/>
  <c r="DD474" i="2"/>
  <c r="AJ475" i="2"/>
  <c r="AC475" i="2" s="1"/>
  <c r="AK475" i="2" s="1"/>
  <c r="C476" i="2" s="1"/>
  <c r="AP475" i="2"/>
  <c r="AQ475" i="2" s="1"/>
  <c r="AR475" i="2" s="1"/>
  <c r="DY474" i="2"/>
  <c r="DZ474" i="2" s="1"/>
  <c r="G475" i="2"/>
  <c r="AU475" i="2" s="1"/>
  <c r="AW475" i="2" l="1"/>
  <c r="AX475" i="2" s="1"/>
  <c r="AZ475" i="2" s="1"/>
  <c r="BM475" i="2"/>
  <c r="BQ475" i="2"/>
  <c r="DG474" i="2"/>
  <c r="BE476" i="2" l="1"/>
  <c r="BA475" i="2"/>
  <c r="AT475" i="2" s="1"/>
  <c r="BB475" i="2" s="1"/>
  <c r="F476" i="2" s="1"/>
  <c r="DH474" i="2"/>
  <c r="EC474" i="2"/>
  <c r="ED474" i="2" s="1"/>
  <c r="DI474" i="2" l="1"/>
  <c r="DJ474" i="2" s="1"/>
  <c r="EE474" i="2"/>
  <c r="I475" i="2"/>
  <c r="BF475" i="2"/>
  <c r="BG475" i="2" s="1"/>
  <c r="BH475" i="2" s="1"/>
  <c r="BI475" i="2" s="1"/>
  <c r="Q475" i="2" l="1"/>
  <c r="U475" i="2"/>
  <c r="V475" i="2"/>
  <c r="L475" i="2"/>
  <c r="F606" i="2"/>
  <c r="BP475" i="2"/>
  <c r="CP475" i="2"/>
  <c r="CB475" i="2"/>
  <c r="BL475" i="2"/>
  <c r="CF475" i="2"/>
  <c r="CC475" i="2"/>
  <c r="CG475" i="2"/>
  <c r="M475" i="2" l="1"/>
  <c r="N475" i="2"/>
  <c r="AN484" i="2" s="1"/>
  <c r="AO484" i="2" s="1"/>
  <c r="O475" i="2" l="1"/>
  <c r="P475" i="2" s="1"/>
  <c r="R475" i="2" s="1"/>
  <c r="S475" i="2" l="1"/>
  <c r="K475" i="2" s="1"/>
  <c r="T475" i="2" s="1"/>
  <c r="W475" i="2"/>
  <c r="X475" i="2" s="1"/>
  <c r="Y475" i="2" s="1"/>
  <c r="Z475" i="2" s="1"/>
  <c r="CQ475" i="2" l="1"/>
  <c r="AA475" i="2"/>
  <c r="CA475" i="2" l="1"/>
  <c r="BK475" i="2"/>
  <c r="CE475" i="2"/>
  <c r="BO475" i="2"/>
  <c r="BR475" i="2" l="1"/>
  <c r="CH475" i="2"/>
  <c r="DK475" i="2" l="1"/>
  <c r="BZ476" i="2"/>
  <c r="CJ475" i="2"/>
  <c r="CK475" i="2"/>
  <c r="CI475" i="2"/>
  <c r="CU475" i="2"/>
  <c r="BJ476" i="2"/>
  <c r="BU475" i="2"/>
  <c r="BV475" i="2" s="1"/>
  <c r="BW475" i="2" s="1"/>
  <c r="BS475" i="2"/>
  <c r="BT475" i="2"/>
  <c r="CR475" i="2" l="1"/>
  <c r="CS475" i="2" s="1"/>
  <c r="CT475" i="2" s="1"/>
  <c r="CY475" i="2"/>
  <c r="CD476" i="2"/>
  <c r="BX475" i="2"/>
  <c r="D476" i="2"/>
  <c r="BN476" i="2"/>
  <c r="CL475" i="2"/>
  <c r="CM475" i="2" s="1"/>
  <c r="DO475" i="2"/>
  <c r="DL475" i="2"/>
  <c r="DM475" i="2"/>
  <c r="DN475" i="2"/>
  <c r="DQ475" i="2" l="1"/>
  <c r="DP475" i="2"/>
  <c r="DS475" i="2" s="1"/>
  <c r="DR475" i="2"/>
  <c r="AD476" i="2"/>
  <c r="B476" i="2"/>
  <c r="BY475" i="2"/>
  <c r="CN475" i="2"/>
  <c r="CV475" i="2"/>
  <c r="CZ475" i="2"/>
  <c r="EA475" i="2"/>
  <c r="DA475" i="2"/>
  <c r="CW475" i="2"/>
  <c r="EB475" i="2"/>
  <c r="DT475" i="2" l="1"/>
  <c r="DV475" i="2"/>
  <c r="DU475" i="2"/>
  <c r="CX475" i="2"/>
  <c r="DC475" i="2" s="1"/>
  <c r="DB475" i="2"/>
  <c r="AE476" i="2"/>
  <c r="AH476" i="2"/>
  <c r="AM476" i="2"/>
  <c r="AL476" i="2"/>
  <c r="E476" i="2"/>
  <c r="CO475" i="2"/>
  <c r="AF476" i="2"/>
  <c r="AG476" i="2" s="1"/>
  <c r="AI476" i="2" s="1"/>
  <c r="AJ476" i="2" l="1"/>
  <c r="AC476" i="2" s="1"/>
  <c r="AK476" i="2" s="1"/>
  <c r="C477" i="2" s="1"/>
  <c r="AP476" i="2"/>
  <c r="AQ476" i="2" s="1"/>
  <c r="AR476" i="2" s="1"/>
  <c r="DF475" i="2"/>
  <c r="DD475" i="2"/>
  <c r="DE475" i="2"/>
  <c r="DW475" i="2"/>
  <c r="DX475" i="2" s="1"/>
  <c r="AV476" i="2"/>
  <c r="AY476" i="2"/>
  <c r="BC476" i="2"/>
  <c r="BD476" i="2"/>
  <c r="DY475" i="2" l="1"/>
  <c r="DZ475" i="2" s="1"/>
  <c r="G476" i="2"/>
  <c r="AU476" i="2" s="1"/>
  <c r="DG475" i="2"/>
  <c r="BM476" i="2"/>
  <c r="BQ476" i="2"/>
  <c r="DH475" i="2" l="1"/>
  <c r="EC475" i="2"/>
  <c r="ED475" i="2" s="1"/>
  <c r="AW476" i="2"/>
  <c r="AX476" i="2" s="1"/>
  <c r="AZ476" i="2" s="1"/>
  <c r="BE477" i="2" l="1"/>
  <c r="BA476" i="2"/>
  <c r="AT476" i="2" s="1"/>
  <c r="BB476" i="2" s="1"/>
  <c r="F477" i="2" s="1"/>
  <c r="EE475" i="2"/>
  <c r="I476" i="2"/>
  <c r="DI475" i="2"/>
  <c r="DJ475" i="2" s="1"/>
  <c r="V476" i="2" l="1"/>
  <c r="L476" i="2"/>
  <c r="Q476" i="2"/>
  <c r="U476" i="2"/>
  <c r="F607" i="2"/>
  <c r="CB476" i="2"/>
  <c r="BL476" i="2"/>
  <c r="CF476" i="2"/>
  <c r="CP476" i="2"/>
  <c r="BP476" i="2"/>
  <c r="BF476" i="2"/>
  <c r="BG476" i="2" s="1"/>
  <c r="BH476" i="2" s="1"/>
  <c r="BI476" i="2" s="1"/>
  <c r="CC476" i="2" l="1"/>
  <c r="CG476" i="2"/>
  <c r="N476" i="2"/>
  <c r="AN485" i="2" s="1"/>
  <c r="AO485" i="2" s="1"/>
  <c r="M476" i="2"/>
  <c r="O476" i="2" l="1"/>
  <c r="P476" i="2" s="1"/>
  <c r="R476" i="2" s="1"/>
  <c r="S476" i="2" l="1"/>
  <c r="K476" i="2" s="1"/>
  <c r="T476" i="2" s="1"/>
  <c r="W476" i="2"/>
  <c r="X476" i="2" s="1"/>
  <c r="Y476" i="2" s="1"/>
  <c r="Z476" i="2" s="1"/>
  <c r="AA476" i="2" l="1"/>
  <c r="CQ476" i="2"/>
  <c r="CA476" i="2" l="1"/>
  <c r="BK476" i="2"/>
  <c r="CE476" i="2"/>
  <c r="BO476" i="2"/>
  <c r="BR476" i="2" l="1"/>
  <c r="CH476" i="2"/>
  <c r="BZ477" i="2" l="1"/>
  <c r="DK476" i="2"/>
  <c r="CJ476" i="2"/>
  <c r="CI476" i="2"/>
  <c r="CK476" i="2"/>
  <c r="BJ477" i="2"/>
  <c r="CU476" i="2"/>
  <c r="BU476" i="2"/>
  <c r="BS476" i="2"/>
  <c r="BT476" i="2"/>
  <c r="BV476" i="2" l="1"/>
  <c r="BW476" i="2" s="1"/>
  <c r="CL476" i="2"/>
  <c r="CM476" i="2" s="1"/>
  <c r="BN477" i="2"/>
  <c r="DO476" i="2"/>
  <c r="DL476" i="2"/>
  <c r="DM476" i="2"/>
  <c r="DN476" i="2"/>
  <c r="CY476" i="2"/>
  <c r="CR476" i="2"/>
  <c r="CS476" i="2" s="1"/>
  <c r="CT476" i="2" s="1"/>
  <c r="CD477" i="2"/>
  <c r="CN476" i="2" l="1"/>
  <c r="CV476" i="2"/>
  <c r="CZ476" i="2"/>
  <c r="CW476" i="2"/>
  <c r="EA476" i="2"/>
  <c r="DA476" i="2"/>
  <c r="EB476" i="2"/>
  <c r="DQ476" i="2"/>
  <c r="DP476" i="2"/>
  <c r="DS476" i="2" s="1"/>
  <c r="DR476" i="2"/>
  <c r="BX476" i="2"/>
  <c r="D477" i="2"/>
  <c r="DT476" i="2" l="1"/>
  <c r="DU476" i="2"/>
  <c r="DV476" i="2"/>
  <c r="E477" i="2"/>
  <c r="CO476" i="2"/>
  <c r="B477" i="2"/>
  <c r="BY476" i="2"/>
  <c r="AY477" i="2" l="1"/>
  <c r="AV477" i="2"/>
  <c r="BC477" i="2"/>
  <c r="BD477" i="2"/>
  <c r="CX476" i="2"/>
  <c r="DB476" i="2"/>
  <c r="AH477" i="2"/>
  <c r="AE477" i="2"/>
  <c r="AM477" i="2"/>
  <c r="AL477" i="2"/>
  <c r="AD477" i="2"/>
  <c r="DW476" i="2"/>
  <c r="DX476" i="2" s="1"/>
  <c r="AF477" i="2" l="1"/>
  <c r="AG477" i="2" s="1"/>
  <c r="AI477" i="2" s="1"/>
  <c r="DY476" i="2"/>
  <c r="DZ476" i="2" s="1"/>
  <c r="G477" i="2"/>
  <c r="AU477" i="2" s="1"/>
  <c r="DC476" i="2"/>
  <c r="AJ477" i="2" l="1"/>
  <c r="AC477" i="2" s="1"/>
  <c r="AK477" i="2" s="1"/>
  <c r="C478" i="2" s="1"/>
  <c r="AP477" i="2"/>
  <c r="AQ477" i="2" s="1"/>
  <c r="AR477" i="2" s="1"/>
  <c r="AW477" i="2"/>
  <c r="AX477" i="2" s="1"/>
  <c r="AZ477" i="2" s="1"/>
  <c r="DF476" i="2"/>
  <c r="DG476" i="2" s="1"/>
  <c r="DD476" i="2"/>
  <c r="DE476" i="2"/>
  <c r="BA477" i="2" l="1"/>
  <c r="AT477" i="2" s="1"/>
  <c r="BB477" i="2" s="1"/>
  <c r="F478" i="2" s="1"/>
  <c r="BE478" i="2"/>
  <c r="DH476" i="2"/>
  <c r="EC476" i="2"/>
  <c r="ED476" i="2" s="1"/>
  <c r="BM477" i="2"/>
  <c r="BQ477" i="2"/>
  <c r="DI476" i="2" l="1"/>
  <c r="DJ476" i="2" s="1"/>
  <c r="BF477" i="2"/>
  <c r="BG477" i="2" s="1"/>
  <c r="BH477" i="2" s="1"/>
  <c r="BI477" i="2" s="1"/>
  <c r="EE476" i="2"/>
  <c r="I477" i="2"/>
  <c r="CC477" i="2" l="1"/>
  <c r="CG477" i="2"/>
  <c r="L477" i="2"/>
  <c r="Q477" i="2"/>
  <c r="U477" i="2"/>
  <c r="V477" i="2"/>
  <c r="F608" i="2"/>
  <c r="CB477" i="2"/>
  <c r="BL477" i="2"/>
  <c r="CF477" i="2"/>
  <c r="CP477" i="2"/>
  <c r="BP477" i="2"/>
  <c r="M477" i="2" l="1"/>
  <c r="N477" i="2"/>
  <c r="AN486" i="2" s="1"/>
  <c r="AO486" i="2" s="1"/>
  <c r="O477" i="2" l="1"/>
  <c r="P477" i="2" s="1"/>
  <c r="R477" i="2" s="1"/>
  <c r="S477" i="2" l="1"/>
  <c r="K477" i="2" s="1"/>
  <c r="T477" i="2" s="1"/>
  <c r="W477" i="2"/>
  <c r="X477" i="2" s="1"/>
  <c r="Y477" i="2" s="1"/>
  <c r="Z477" i="2" s="1"/>
  <c r="AA477" i="2" l="1"/>
  <c r="CQ477" i="2"/>
  <c r="BO477" i="2" l="1"/>
  <c r="CA477" i="2"/>
  <c r="BK477" i="2"/>
  <c r="BR477" i="2" s="1"/>
  <c r="CE477" i="2"/>
  <c r="BJ478" i="2" l="1"/>
  <c r="CU477" i="2"/>
  <c r="BU477" i="2"/>
  <c r="BT477" i="2"/>
  <c r="BS477" i="2"/>
  <c r="CH477" i="2"/>
  <c r="BV477" i="2" l="1"/>
  <c r="BW477" i="2" s="1"/>
  <c r="CY477" i="2"/>
  <c r="BZ478" i="2"/>
  <c r="DK477" i="2"/>
  <c r="CI477" i="2"/>
  <c r="CJ477" i="2"/>
  <c r="CK477" i="2"/>
  <c r="CR477" i="2" s="1"/>
  <c r="CS477" i="2" s="1"/>
  <c r="CT477" i="2" s="1"/>
  <c r="BN478" i="2"/>
  <c r="CL477" i="2" l="1"/>
  <c r="CM477" i="2" s="1"/>
  <c r="DO477" i="2"/>
  <c r="DM477" i="2"/>
  <c r="DN477" i="2"/>
  <c r="DL477" i="2"/>
  <c r="CV477" i="2"/>
  <c r="CZ477" i="2"/>
  <c r="DA477" i="2"/>
  <c r="EA477" i="2"/>
  <c r="CW477" i="2"/>
  <c r="EB477" i="2"/>
  <c r="CD478" i="2"/>
  <c r="D478" i="2"/>
  <c r="BX477" i="2"/>
  <c r="B478" i="2" l="1"/>
  <c r="BY477" i="2"/>
  <c r="AD478" i="2"/>
  <c r="DR477" i="2"/>
  <c r="DP477" i="2"/>
  <c r="DS477" i="2" s="1"/>
  <c r="DQ477" i="2"/>
  <c r="CN477" i="2"/>
  <c r="DV477" i="2" l="1"/>
  <c r="DT477" i="2"/>
  <c r="DU477" i="2"/>
  <c r="AH478" i="2"/>
  <c r="AE478" i="2"/>
  <c r="AM478" i="2"/>
  <c r="AL478" i="2"/>
  <c r="E478" i="2"/>
  <c r="CO477" i="2"/>
  <c r="AF478" i="2"/>
  <c r="AG478" i="2" s="1"/>
  <c r="AI478" i="2" s="1"/>
  <c r="CX477" i="2"/>
  <c r="DB477" i="2"/>
  <c r="AJ478" i="2" l="1"/>
  <c r="AC478" i="2" s="1"/>
  <c r="AK478" i="2" s="1"/>
  <c r="C479" i="2" s="1"/>
  <c r="AP478" i="2"/>
  <c r="AQ478" i="2" s="1"/>
  <c r="AR478" i="2" s="1"/>
  <c r="DC477" i="2"/>
  <c r="DW477" i="2"/>
  <c r="DX477" i="2" s="1"/>
  <c r="AY478" i="2"/>
  <c r="AV478" i="2"/>
  <c r="BD478" i="2"/>
  <c r="BC478" i="2"/>
  <c r="DY477" i="2" l="1"/>
  <c r="DZ477" i="2" s="1"/>
  <c r="G478" i="2"/>
  <c r="AU478" i="2" s="1"/>
  <c r="DF477" i="2"/>
  <c r="DE477" i="2"/>
  <c r="DD477" i="2"/>
  <c r="BM478" i="2"/>
  <c r="BQ478" i="2"/>
  <c r="DG477" i="2" l="1"/>
  <c r="AW478" i="2"/>
  <c r="AX478" i="2" s="1"/>
  <c r="AZ478" i="2" s="1"/>
  <c r="BE479" i="2" l="1"/>
  <c r="BA478" i="2"/>
  <c r="AT478" i="2" s="1"/>
  <c r="BB478" i="2" s="1"/>
  <c r="F479" i="2" s="1"/>
  <c r="DH477" i="2"/>
  <c r="EC477" i="2"/>
  <c r="ED477" i="2" s="1"/>
  <c r="DI477" i="2" l="1"/>
  <c r="DJ477" i="2" s="1"/>
  <c r="I478" i="2"/>
  <c r="EE477" i="2"/>
  <c r="BF478" i="2"/>
  <c r="BG478" i="2" s="1"/>
  <c r="BH478" i="2" s="1"/>
  <c r="BI478" i="2" s="1"/>
  <c r="CC478" i="2" l="1"/>
  <c r="CG478" i="2"/>
  <c r="L478" i="2"/>
  <c r="Q478" i="2"/>
  <c r="U478" i="2"/>
  <c r="V478" i="2"/>
  <c r="F609" i="2"/>
  <c r="BP478" i="2"/>
  <c r="CP478" i="2"/>
  <c r="CB478" i="2"/>
  <c r="BL478" i="2"/>
  <c r="CF478" i="2"/>
  <c r="M478" i="2" l="1"/>
  <c r="N478" i="2"/>
  <c r="AN487" i="2" s="1"/>
  <c r="AO487" i="2" s="1"/>
  <c r="O478" i="2" l="1"/>
  <c r="P478" i="2" s="1"/>
  <c r="R478" i="2" s="1"/>
  <c r="S478" i="2" l="1"/>
  <c r="K478" i="2" s="1"/>
  <c r="T478" i="2" s="1"/>
  <c r="W478" i="2"/>
  <c r="X478" i="2" s="1"/>
  <c r="Y478" i="2" s="1"/>
  <c r="Z478" i="2" s="1"/>
  <c r="CQ478" i="2" l="1"/>
  <c r="AA478" i="2"/>
  <c r="BO478" i="2" l="1"/>
  <c r="CA478" i="2"/>
  <c r="CH478" i="2" s="1"/>
  <c r="BK478" i="2"/>
  <c r="BR478" i="2" s="1"/>
  <c r="CE478" i="2"/>
  <c r="CU478" i="2" l="1"/>
  <c r="BJ479" i="2"/>
  <c r="BU478" i="2"/>
  <c r="BS478" i="2"/>
  <c r="BT478" i="2"/>
  <c r="DK478" i="2"/>
  <c r="BZ479" i="2"/>
  <c r="CI478" i="2"/>
  <c r="CJ478" i="2"/>
  <c r="CK478" i="2"/>
  <c r="CL478" i="2" l="1"/>
  <c r="CM478" i="2" s="1"/>
  <c r="CD479" i="2"/>
  <c r="BV478" i="2"/>
  <c r="BW478" i="2" s="1"/>
  <c r="DO478" i="2"/>
  <c r="DN478" i="2"/>
  <c r="DM478" i="2"/>
  <c r="DL478" i="2"/>
  <c r="BN479" i="2"/>
  <c r="CY478" i="2"/>
  <c r="D479" i="2" l="1"/>
  <c r="BX478" i="2"/>
  <c r="DP478" i="2"/>
  <c r="DS478" i="2" s="1"/>
  <c r="DR478" i="2"/>
  <c r="DQ478" i="2"/>
  <c r="CR478" i="2"/>
  <c r="CS478" i="2" s="1"/>
  <c r="CT478" i="2" s="1"/>
  <c r="CN478" i="2"/>
  <c r="DU478" i="2" l="1"/>
  <c r="DT478" i="2"/>
  <c r="DW478" i="2" s="1"/>
  <c r="DX478" i="2" s="1"/>
  <c r="DV478" i="2"/>
  <c r="CV478" i="2"/>
  <c r="CZ478" i="2"/>
  <c r="EA478" i="2"/>
  <c r="CW478" i="2"/>
  <c r="DA478" i="2"/>
  <c r="EB478" i="2"/>
  <c r="B479" i="2"/>
  <c r="BY478" i="2"/>
  <c r="AD479" i="2"/>
  <c r="E479" i="2"/>
  <c r="CO478" i="2"/>
  <c r="AY479" i="2" l="1"/>
  <c r="AV479" i="2"/>
  <c r="BC479" i="2"/>
  <c r="BD479" i="2"/>
  <c r="AH479" i="2"/>
  <c r="AE479" i="2"/>
  <c r="AM479" i="2"/>
  <c r="AL479" i="2"/>
  <c r="AF479" i="2"/>
  <c r="AG479" i="2" s="1"/>
  <c r="AI479" i="2" s="1"/>
  <c r="DY478" i="2"/>
  <c r="DZ478" i="2" s="1"/>
  <c r="G479" i="2"/>
  <c r="AU479" i="2" s="1"/>
  <c r="CX478" i="2"/>
  <c r="DC478" i="2" s="1"/>
  <c r="DB478" i="2"/>
  <c r="DF478" i="2" l="1"/>
  <c r="DD478" i="2"/>
  <c r="DE478" i="2"/>
  <c r="AJ479" i="2"/>
  <c r="AC479" i="2" s="1"/>
  <c r="AK479" i="2" s="1"/>
  <c r="C480" i="2" s="1"/>
  <c r="AP479" i="2"/>
  <c r="AQ479" i="2" s="1"/>
  <c r="AR479" i="2" s="1"/>
  <c r="AW479" i="2"/>
  <c r="AX479" i="2" s="1"/>
  <c r="AZ479" i="2" s="1"/>
  <c r="BE480" i="2" l="1"/>
  <c r="BA479" i="2"/>
  <c r="AT479" i="2" s="1"/>
  <c r="BB479" i="2" s="1"/>
  <c r="F480" i="2" s="1"/>
  <c r="BM479" i="2"/>
  <c r="BQ479" i="2"/>
  <c r="DG478" i="2"/>
  <c r="DH478" i="2" l="1"/>
  <c r="EC478" i="2"/>
  <c r="ED478" i="2" s="1"/>
  <c r="BF479" i="2"/>
  <c r="BG479" i="2" s="1"/>
  <c r="BH479" i="2" s="1"/>
  <c r="BI479" i="2" s="1"/>
  <c r="DI478" i="2" l="1"/>
  <c r="DJ478" i="2" s="1"/>
  <c r="CC479" i="2"/>
  <c r="CG479" i="2"/>
  <c r="I479" i="2"/>
  <c r="EE478" i="2"/>
  <c r="Q479" i="2" l="1"/>
  <c r="U479" i="2"/>
  <c r="V479" i="2"/>
  <c r="L479" i="2"/>
  <c r="F610" i="2"/>
  <c r="CB479" i="2"/>
  <c r="BL479" i="2"/>
  <c r="CF479" i="2"/>
  <c r="BP479" i="2"/>
  <c r="CP479" i="2"/>
  <c r="M479" i="2" l="1"/>
  <c r="N479" i="2"/>
  <c r="AN488" i="2" s="1"/>
  <c r="AO488" i="2" s="1"/>
  <c r="O479" i="2" l="1"/>
  <c r="P479" i="2" s="1"/>
  <c r="R479" i="2" s="1"/>
  <c r="S479" i="2" l="1"/>
  <c r="K479" i="2" s="1"/>
  <c r="T479" i="2" s="1"/>
  <c r="W479" i="2"/>
  <c r="X479" i="2" s="1"/>
  <c r="Y479" i="2" s="1"/>
  <c r="Z479" i="2" s="1"/>
  <c r="CQ479" i="2" l="1"/>
  <c r="AA479" i="2"/>
  <c r="BO479" i="2" l="1"/>
  <c r="CA479" i="2"/>
  <c r="CH479" i="2" s="1"/>
  <c r="BK479" i="2"/>
  <c r="BR479" i="2" s="1"/>
  <c r="CE479" i="2"/>
  <c r="CU479" i="2" l="1"/>
  <c r="BJ480" i="2"/>
  <c r="BU479" i="2"/>
  <c r="BS479" i="2"/>
  <c r="BT479" i="2"/>
  <c r="DK479" i="2"/>
  <c r="BZ480" i="2"/>
  <c r="CK479" i="2"/>
  <c r="CI479" i="2"/>
  <c r="CJ479" i="2"/>
  <c r="CD480" i="2" l="1"/>
  <c r="BV479" i="2"/>
  <c r="BW479" i="2" s="1"/>
  <c r="DO479" i="2"/>
  <c r="DN479" i="2"/>
  <c r="DM479" i="2"/>
  <c r="DL479" i="2"/>
  <c r="BN480" i="2"/>
  <c r="CL479" i="2"/>
  <c r="CM479" i="2" s="1"/>
  <c r="CY479" i="2"/>
  <c r="CN479" i="2" l="1"/>
  <c r="BX479" i="2"/>
  <c r="D480" i="2"/>
  <c r="DR479" i="2"/>
  <c r="DP479" i="2"/>
  <c r="DS479" i="2" s="1"/>
  <c r="DQ479" i="2"/>
  <c r="CR479" i="2"/>
  <c r="CS479" i="2" s="1"/>
  <c r="CT479" i="2" s="1"/>
  <c r="DV479" i="2" l="1"/>
  <c r="DU479" i="2"/>
  <c r="DT479" i="2"/>
  <c r="B480" i="2"/>
  <c r="BY479" i="2"/>
  <c r="CV479" i="2"/>
  <c r="CZ479" i="2"/>
  <c r="CW479" i="2"/>
  <c r="EA479" i="2"/>
  <c r="DA479" i="2"/>
  <c r="EB479" i="2"/>
  <c r="E480" i="2"/>
  <c r="CO479" i="2"/>
  <c r="AD480" i="2"/>
  <c r="AV480" i="2" l="1"/>
  <c r="AY480" i="2"/>
  <c r="BD480" i="2"/>
  <c r="BC480" i="2"/>
  <c r="AF480" i="2"/>
  <c r="AG480" i="2" s="1"/>
  <c r="AI480" i="2" s="1"/>
  <c r="AE480" i="2"/>
  <c r="AH480" i="2"/>
  <c r="AL480" i="2"/>
  <c r="AM480" i="2"/>
  <c r="DW479" i="2"/>
  <c r="DX479" i="2" s="1"/>
  <c r="CX479" i="2"/>
  <c r="DC479" i="2" s="1"/>
  <c r="DB479" i="2"/>
  <c r="DF479" i="2" l="1"/>
  <c r="DD479" i="2"/>
  <c r="DE479" i="2"/>
  <c r="AJ480" i="2"/>
  <c r="AC480" i="2" s="1"/>
  <c r="AK480" i="2" s="1"/>
  <c r="C481" i="2" s="1"/>
  <c r="AP480" i="2"/>
  <c r="AQ480" i="2" s="1"/>
  <c r="AR480" i="2" s="1"/>
  <c r="DY479" i="2"/>
  <c r="DZ479" i="2" s="1"/>
  <c r="G480" i="2"/>
  <c r="AU480" i="2" s="1"/>
  <c r="AW480" i="2" l="1"/>
  <c r="AX480" i="2" s="1"/>
  <c r="AZ480" i="2" s="1"/>
  <c r="BM480" i="2"/>
  <c r="BQ480" i="2"/>
  <c r="DG479" i="2"/>
  <c r="BE481" i="2" l="1"/>
  <c r="BA480" i="2"/>
  <c r="AT480" i="2" s="1"/>
  <c r="BB480" i="2" s="1"/>
  <c r="F481" i="2" s="1"/>
  <c r="DH479" i="2"/>
  <c r="EC479" i="2"/>
  <c r="ED479" i="2" s="1"/>
  <c r="DI479" i="2" l="1"/>
  <c r="DJ479" i="2" s="1"/>
  <c r="I480" i="2"/>
  <c r="EE479" i="2"/>
  <c r="BF480" i="2"/>
  <c r="BG480" i="2" s="1"/>
  <c r="BH480" i="2" s="1"/>
  <c r="BI480" i="2" s="1"/>
  <c r="V480" i="2" l="1"/>
  <c r="L480" i="2"/>
  <c r="Q480" i="2"/>
  <c r="U480" i="2"/>
  <c r="F611" i="2"/>
  <c r="BP480" i="2"/>
  <c r="CB480" i="2"/>
  <c r="BL480" i="2"/>
  <c r="CF480" i="2"/>
  <c r="CP480" i="2"/>
  <c r="CC480" i="2"/>
  <c r="CG480" i="2"/>
  <c r="N480" i="2" l="1"/>
  <c r="AN489" i="2" s="1"/>
  <c r="AO489" i="2" s="1"/>
  <c r="M480" i="2"/>
  <c r="O480" i="2" l="1"/>
  <c r="P480" i="2" s="1"/>
  <c r="R480" i="2" s="1"/>
  <c r="S480" i="2" l="1"/>
  <c r="K480" i="2" s="1"/>
  <c r="T480" i="2" s="1"/>
  <c r="W480" i="2"/>
  <c r="X480" i="2" s="1"/>
  <c r="Y480" i="2" s="1"/>
  <c r="Z480" i="2" s="1"/>
  <c r="AA480" i="2" l="1"/>
  <c r="CQ480" i="2"/>
  <c r="CA480" i="2" l="1"/>
  <c r="CH480" i="2" s="1"/>
  <c r="BK480" i="2"/>
  <c r="BR480" i="2" s="1"/>
  <c r="CE480" i="2"/>
  <c r="BO480" i="2"/>
  <c r="BJ481" i="2" l="1"/>
  <c r="CU480" i="2"/>
  <c r="BU480" i="2"/>
  <c r="BT480" i="2"/>
  <c r="BS480" i="2"/>
  <c r="BZ481" i="2"/>
  <c r="DK480" i="2"/>
  <c r="CI480" i="2"/>
  <c r="CJ480" i="2"/>
  <c r="CK480" i="2"/>
  <c r="CL480" i="2" l="1"/>
  <c r="CM480" i="2" s="1"/>
  <c r="DO480" i="2"/>
  <c r="DL480" i="2"/>
  <c r="DM480" i="2"/>
  <c r="DN480" i="2"/>
  <c r="BV480" i="2"/>
  <c r="BW480" i="2" s="1"/>
  <c r="CR480" i="2"/>
  <c r="CS480" i="2" s="1"/>
  <c r="CT480" i="2" s="1"/>
  <c r="CD481" i="2"/>
  <c r="CY480" i="2"/>
  <c r="BN481" i="2"/>
  <c r="CV480" i="2" l="1"/>
  <c r="CZ480" i="2"/>
  <c r="DA480" i="2"/>
  <c r="CW480" i="2"/>
  <c r="EA480" i="2"/>
  <c r="EB480" i="2"/>
  <c r="DQ480" i="2"/>
  <c r="DP480" i="2"/>
  <c r="DS480" i="2" s="1"/>
  <c r="DR480" i="2"/>
  <c r="CN480" i="2"/>
  <c r="BX480" i="2"/>
  <c r="D481" i="2"/>
  <c r="DV480" i="2" l="1"/>
  <c r="DT480" i="2"/>
  <c r="DU480" i="2"/>
  <c r="B481" i="2"/>
  <c r="BY480" i="2"/>
  <c r="AD481" i="2"/>
  <c r="E481" i="2"/>
  <c r="CO480" i="2"/>
  <c r="AH481" i="2" l="1"/>
  <c r="AE481" i="2"/>
  <c r="AL481" i="2"/>
  <c r="AM481" i="2"/>
  <c r="AF481" i="2"/>
  <c r="AG481" i="2" s="1"/>
  <c r="AI481" i="2" s="1"/>
  <c r="DW480" i="2"/>
  <c r="DX480" i="2" s="1"/>
  <c r="AY481" i="2"/>
  <c r="AV481" i="2"/>
  <c r="BC481" i="2"/>
  <c r="BD481" i="2"/>
  <c r="CX480" i="2"/>
  <c r="DC480" i="2" s="1"/>
  <c r="DB480" i="2"/>
  <c r="AJ481" i="2" l="1"/>
  <c r="AC481" i="2" s="1"/>
  <c r="AK481" i="2" s="1"/>
  <c r="C482" i="2" s="1"/>
  <c r="AP481" i="2"/>
  <c r="AQ481" i="2" s="1"/>
  <c r="AR481" i="2" s="1"/>
  <c r="DY480" i="2"/>
  <c r="DZ480" i="2" s="1"/>
  <c r="G481" i="2"/>
  <c r="AU481" i="2" s="1"/>
  <c r="DF480" i="2"/>
  <c r="DE480" i="2"/>
  <c r="DD480" i="2"/>
  <c r="AW481" i="2" l="1"/>
  <c r="AX481" i="2" s="1"/>
  <c r="AZ481" i="2" s="1"/>
  <c r="DG480" i="2"/>
  <c r="BM481" i="2"/>
  <c r="BQ481" i="2"/>
  <c r="BA481" i="2" l="1"/>
  <c r="AT481" i="2" s="1"/>
  <c r="BB481" i="2" s="1"/>
  <c r="F482" i="2" s="1"/>
  <c r="BE482" i="2"/>
  <c r="DH480" i="2"/>
  <c r="EC480" i="2"/>
  <c r="ED480" i="2" s="1"/>
  <c r="I481" i="2" l="1"/>
  <c r="EE480" i="2"/>
  <c r="DI480" i="2"/>
  <c r="DJ480" i="2" s="1"/>
  <c r="BF481" i="2"/>
  <c r="BG481" i="2" s="1"/>
  <c r="BH481" i="2" s="1"/>
  <c r="BI481" i="2" s="1"/>
  <c r="CC481" i="2" l="1"/>
  <c r="CG481" i="2"/>
  <c r="L481" i="2"/>
  <c r="Q481" i="2"/>
  <c r="U481" i="2"/>
  <c r="V481" i="2"/>
  <c r="F612" i="2"/>
  <c r="BL481" i="2"/>
  <c r="CF481" i="2"/>
  <c r="CP481" i="2"/>
  <c r="BP481" i="2"/>
  <c r="CB481" i="2"/>
  <c r="M481" i="2" l="1"/>
  <c r="N481" i="2"/>
  <c r="AN490" i="2" s="1"/>
  <c r="AO490" i="2" s="1"/>
  <c r="O481" i="2" l="1"/>
  <c r="P481" i="2" s="1"/>
  <c r="R481" i="2" s="1"/>
  <c r="S481" i="2" l="1"/>
  <c r="K481" i="2" s="1"/>
  <c r="T481" i="2" s="1"/>
  <c r="W481" i="2"/>
  <c r="X481" i="2" s="1"/>
  <c r="Y481" i="2" s="1"/>
  <c r="Z481" i="2" s="1"/>
  <c r="AA481" i="2" l="1"/>
  <c r="CQ481" i="2"/>
  <c r="BK481" i="2" l="1"/>
  <c r="CE481" i="2"/>
  <c r="BO481" i="2"/>
  <c r="CA481" i="2"/>
  <c r="BR481" i="2" l="1"/>
  <c r="CH481" i="2"/>
  <c r="BZ482" i="2" l="1"/>
  <c r="DK481" i="2"/>
  <c r="CJ481" i="2"/>
  <c r="CI481" i="2"/>
  <c r="CK481" i="2"/>
  <c r="BJ482" i="2"/>
  <c r="CU481" i="2"/>
  <c r="BU481" i="2"/>
  <c r="BV481" i="2" s="1"/>
  <c r="BW481" i="2" s="1"/>
  <c r="BT481" i="2"/>
  <c r="BS481" i="2"/>
  <c r="D482" i="2" l="1"/>
  <c r="BX481" i="2"/>
  <c r="CL481" i="2"/>
  <c r="CM481" i="2" s="1"/>
  <c r="CY481" i="2"/>
  <c r="BN482" i="2"/>
  <c r="DO481" i="2"/>
  <c r="DN481" i="2"/>
  <c r="DL481" i="2"/>
  <c r="DM481" i="2"/>
  <c r="CR481" i="2"/>
  <c r="CS481" i="2" s="1"/>
  <c r="CT481" i="2" s="1"/>
  <c r="CD482" i="2"/>
  <c r="CN481" i="2" l="1"/>
  <c r="B482" i="2"/>
  <c r="BY481" i="2"/>
  <c r="CV481" i="2"/>
  <c r="CZ481" i="2"/>
  <c r="EA481" i="2"/>
  <c r="CW481" i="2"/>
  <c r="DA481" i="2"/>
  <c r="EB481" i="2"/>
  <c r="DR481" i="2"/>
  <c r="DP481" i="2"/>
  <c r="DS481" i="2" s="1"/>
  <c r="DQ481" i="2"/>
  <c r="AD482" i="2"/>
  <c r="DV481" i="2" l="1"/>
  <c r="DT481" i="2"/>
  <c r="DW481" i="2" s="1"/>
  <c r="DX481" i="2" s="1"/>
  <c r="DU481" i="2"/>
  <c r="E482" i="2"/>
  <c r="CO481" i="2"/>
  <c r="DC481" i="2"/>
  <c r="AF482" i="2"/>
  <c r="AG482" i="2" s="1"/>
  <c r="AI482" i="2" s="1"/>
  <c r="CX481" i="2"/>
  <c r="DB481" i="2"/>
  <c r="AH482" i="2"/>
  <c r="AE482" i="2"/>
  <c r="AL482" i="2"/>
  <c r="AM482" i="2"/>
  <c r="AJ482" i="2" l="1"/>
  <c r="AC482" i="2" s="1"/>
  <c r="AK482" i="2" s="1"/>
  <c r="C483" i="2" s="1"/>
  <c r="AP482" i="2"/>
  <c r="AQ482" i="2" s="1"/>
  <c r="AR482" i="2" s="1"/>
  <c r="DF481" i="2"/>
  <c r="DD481" i="2"/>
  <c r="DE481" i="2"/>
  <c r="AY482" i="2"/>
  <c r="AV482" i="2"/>
  <c r="BC482" i="2"/>
  <c r="BD482" i="2"/>
  <c r="DY481" i="2"/>
  <c r="DZ481" i="2" s="1"/>
  <c r="G482" i="2"/>
  <c r="AU482" i="2" s="1"/>
  <c r="AW482" i="2" l="1"/>
  <c r="AX482" i="2" s="1"/>
  <c r="AZ482" i="2" s="1"/>
  <c r="DG481" i="2"/>
  <c r="BM482" i="2"/>
  <c r="BQ482" i="2"/>
  <c r="BE483" i="2" l="1"/>
  <c r="BA482" i="2"/>
  <c r="AT482" i="2" s="1"/>
  <c r="BB482" i="2" s="1"/>
  <c r="F483" i="2" s="1"/>
  <c r="DH481" i="2"/>
  <c r="EC481" i="2"/>
  <c r="ED481" i="2" s="1"/>
  <c r="DI481" i="2" l="1"/>
  <c r="DJ481" i="2" s="1"/>
  <c r="I482" i="2"/>
  <c r="EE481" i="2"/>
  <c r="BF482" i="2"/>
  <c r="BG482" i="2" s="1"/>
  <c r="BH482" i="2" s="1"/>
  <c r="BI482" i="2" s="1"/>
  <c r="L482" i="2" l="1"/>
  <c r="Q482" i="2"/>
  <c r="U482" i="2"/>
  <c r="V482" i="2"/>
  <c r="F613" i="2"/>
  <c r="CB482" i="2"/>
  <c r="BL482" i="2"/>
  <c r="CF482" i="2"/>
  <c r="BP482" i="2"/>
  <c r="CP482" i="2"/>
  <c r="CC482" i="2"/>
  <c r="CG482" i="2"/>
  <c r="M482" i="2" l="1"/>
  <c r="N482" i="2"/>
  <c r="AN491" i="2" s="1"/>
  <c r="AO491" i="2" s="1"/>
  <c r="O482" i="2" l="1"/>
  <c r="P482" i="2" s="1"/>
  <c r="R482" i="2" s="1"/>
  <c r="S482" i="2" l="1"/>
  <c r="K482" i="2" s="1"/>
  <c r="T482" i="2" s="1"/>
  <c r="W482" i="2"/>
  <c r="X482" i="2" s="1"/>
  <c r="Y482" i="2" s="1"/>
  <c r="Z482" i="2" s="1"/>
  <c r="CQ482" i="2" l="1"/>
  <c r="AA482" i="2"/>
  <c r="CA482" i="2" l="1"/>
  <c r="CH482" i="2" s="1"/>
  <c r="BK482" i="2"/>
  <c r="BR482" i="2" s="1"/>
  <c r="CE482" i="2"/>
  <c r="BO482" i="2"/>
  <c r="CU482" i="2" l="1"/>
  <c r="BJ483" i="2"/>
  <c r="BU482" i="2"/>
  <c r="BT482" i="2"/>
  <c r="BS482" i="2"/>
  <c r="DK482" i="2"/>
  <c r="BZ483" i="2"/>
  <c r="CK482" i="2"/>
  <c r="CI482" i="2"/>
  <c r="CJ482" i="2"/>
  <c r="BV482" i="2" l="1"/>
  <c r="BW482" i="2" s="1"/>
  <c r="BN483" i="2"/>
  <c r="CR482" i="2"/>
  <c r="CS482" i="2" s="1"/>
  <c r="CT482" i="2" s="1"/>
  <c r="CD483" i="2"/>
  <c r="DO482" i="2"/>
  <c r="DM482" i="2"/>
  <c r="DL482" i="2"/>
  <c r="DN482" i="2"/>
  <c r="CL482" i="2"/>
  <c r="CM482" i="2" s="1"/>
  <c r="CY482" i="2"/>
  <c r="CV482" i="2" l="1"/>
  <c r="CZ482" i="2"/>
  <c r="EA482" i="2"/>
  <c r="CW482" i="2"/>
  <c r="DA482" i="2"/>
  <c r="EB482" i="2"/>
  <c r="DR482" i="2"/>
  <c r="DP482" i="2"/>
  <c r="DQ482" i="2"/>
  <c r="CN482" i="2"/>
  <c r="D483" i="2"/>
  <c r="BX482" i="2"/>
  <c r="B483" i="2" l="1"/>
  <c r="BY482" i="2"/>
  <c r="DS482" i="2"/>
  <c r="E483" i="2"/>
  <c r="CO482" i="2"/>
  <c r="CX482" i="2" l="1"/>
  <c r="DC482" i="2" s="1"/>
  <c r="DB482" i="2"/>
  <c r="AY483" i="2"/>
  <c r="AV483" i="2"/>
  <c r="BC483" i="2"/>
  <c r="BD483" i="2"/>
  <c r="AH483" i="2"/>
  <c r="AE483" i="2"/>
  <c r="AL483" i="2"/>
  <c r="AM483" i="2"/>
  <c r="DV482" i="2"/>
  <c r="DU482" i="2"/>
  <c r="DT482" i="2"/>
  <c r="AD483" i="2"/>
  <c r="AI483" i="2" l="1"/>
  <c r="AF483" i="2"/>
  <c r="AG483" i="2" s="1"/>
  <c r="DF482" i="2"/>
  <c r="DD482" i="2"/>
  <c r="DE482" i="2"/>
  <c r="DW482" i="2"/>
  <c r="DX482" i="2" s="1"/>
  <c r="AJ483" i="2" l="1"/>
  <c r="AC483" i="2" s="1"/>
  <c r="AK483" i="2" s="1"/>
  <c r="C484" i="2" s="1"/>
  <c r="AP483" i="2"/>
  <c r="AQ483" i="2" s="1"/>
  <c r="AR483" i="2" s="1"/>
  <c r="DG482" i="2"/>
  <c r="DY482" i="2"/>
  <c r="DZ482" i="2" s="1"/>
  <c r="G483" i="2"/>
  <c r="AU483" i="2" s="1"/>
  <c r="AW483" i="2" l="1"/>
  <c r="AX483" i="2" s="1"/>
  <c r="AZ483" i="2" s="1"/>
  <c r="DH482" i="2"/>
  <c r="EC482" i="2"/>
  <c r="ED482" i="2" s="1"/>
  <c r="BM483" i="2"/>
  <c r="BQ483" i="2"/>
  <c r="BE484" i="2" l="1"/>
  <c r="BA483" i="2"/>
  <c r="AT483" i="2" s="1"/>
  <c r="BB483" i="2" s="1"/>
  <c r="F484" i="2" s="1"/>
  <c r="DI482" i="2"/>
  <c r="DJ482" i="2" s="1"/>
  <c r="I483" i="2"/>
  <c r="EE482" i="2"/>
  <c r="Q483" i="2" l="1"/>
  <c r="U483" i="2"/>
  <c r="V483" i="2"/>
  <c r="L483" i="2"/>
  <c r="F614" i="2"/>
  <c r="BP483" i="2"/>
  <c r="CP483" i="2"/>
  <c r="CB483" i="2"/>
  <c r="BL483" i="2"/>
  <c r="CF483" i="2"/>
  <c r="BF483" i="2"/>
  <c r="BG483" i="2" s="1"/>
  <c r="BH483" i="2" s="1"/>
  <c r="BI483" i="2" s="1"/>
  <c r="M483" i="2" l="1"/>
  <c r="N483" i="2"/>
  <c r="AN492" i="2" s="1"/>
  <c r="AO492" i="2" s="1"/>
  <c r="CC483" i="2"/>
  <c r="CG483" i="2"/>
  <c r="O483" i="2" l="1"/>
  <c r="P483" i="2" s="1"/>
  <c r="R483" i="2" s="1"/>
  <c r="S483" i="2" l="1"/>
  <c r="K483" i="2" s="1"/>
  <c r="T483" i="2" s="1"/>
  <c r="W483" i="2"/>
  <c r="X483" i="2" s="1"/>
  <c r="Y483" i="2" s="1"/>
  <c r="Z483" i="2" s="1"/>
  <c r="CQ483" i="2" l="1"/>
  <c r="AA483" i="2"/>
  <c r="CA483" i="2" l="1"/>
  <c r="BK483" i="2"/>
  <c r="BR483" i="2" s="1"/>
  <c r="CE483" i="2"/>
  <c r="BO483" i="2"/>
  <c r="CU483" i="2" l="1"/>
  <c r="BJ484" i="2"/>
  <c r="BU483" i="2"/>
  <c r="BS483" i="2"/>
  <c r="BT483" i="2"/>
  <c r="CH483" i="2"/>
  <c r="BV483" i="2" l="1"/>
  <c r="BW483" i="2" s="1"/>
  <c r="DK483" i="2"/>
  <c r="BZ484" i="2"/>
  <c r="CJ483" i="2"/>
  <c r="CI483" i="2"/>
  <c r="CK483" i="2"/>
  <c r="CR483" i="2" s="1"/>
  <c r="CS483" i="2" s="1"/>
  <c r="CT483" i="2" s="1"/>
  <c r="BN484" i="2"/>
  <c r="CY483" i="2"/>
  <c r="CD484" i="2" l="1"/>
  <c r="CV483" i="2"/>
  <c r="CZ483" i="2"/>
  <c r="EA483" i="2"/>
  <c r="DA483" i="2"/>
  <c r="CW483" i="2"/>
  <c r="EB483" i="2"/>
  <c r="DO483" i="2"/>
  <c r="DL483" i="2"/>
  <c r="DM483" i="2"/>
  <c r="DN483" i="2"/>
  <c r="CL483" i="2"/>
  <c r="CM483" i="2" s="1"/>
  <c r="BX483" i="2"/>
  <c r="D484" i="2"/>
  <c r="DQ483" i="2" l="1"/>
  <c r="DS483" i="2" s="1"/>
  <c r="DP483" i="2"/>
  <c r="DR483" i="2"/>
  <c r="B484" i="2"/>
  <c r="BY483" i="2"/>
  <c r="CN483" i="2"/>
  <c r="DT483" i="2" l="1"/>
  <c r="DU483" i="2"/>
  <c r="DV483" i="2"/>
  <c r="AE484" i="2"/>
  <c r="AH484" i="2"/>
  <c r="AL484" i="2"/>
  <c r="AM484" i="2"/>
  <c r="E484" i="2"/>
  <c r="CO483" i="2"/>
  <c r="AD484" i="2"/>
  <c r="CX483" i="2"/>
  <c r="DB483" i="2"/>
  <c r="AF484" i="2" l="1"/>
  <c r="AG484" i="2" s="1"/>
  <c r="AI484" i="2" s="1"/>
  <c r="DC483" i="2"/>
  <c r="AV484" i="2"/>
  <c r="AY484" i="2"/>
  <c r="BD484" i="2"/>
  <c r="BC484" i="2"/>
  <c r="DW483" i="2"/>
  <c r="DX483" i="2" s="1"/>
  <c r="AJ484" i="2" l="1"/>
  <c r="AC484" i="2" s="1"/>
  <c r="AK484" i="2" s="1"/>
  <c r="C485" i="2" s="1"/>
  <c r="AP484" i="2"/>
  <c r="AQ484" i="2" s="1"/>
  <c r="AR484" i="2" s="1"/>
  <c r="DY483" i="2"/>
  <c r="DZ483" i="2" s="1"/>
  <c r="G484" i="2"/>
  <c r="AU484" i="2" s="1"/>
  <c r="DF483" i="2"/>
  <c r="DG483" i="2" s="1"/>
  <c r="DD483" i="2"/>
  <c r="DE483" i="2"/>
  <c r="AW484" i="2" l="1"/>
  <c r="AX484" i="2" s="1"/>
  <c r="AZ484" i="2" s="1"/>
  <c r="DH483" i="2"/>
  <c r="EC483" i="2"/>
  <c r="ED483" i="2" s="1"/>
  <c r="BM484" i="2"/>
  <c r="BQ484" i="2"/>
  <c r="BE485" i="2" l="1"/>
  <c r="BA484" i="2"/>
  <c r="AT484" i="2" s="1"/>
  <c r="BB484" i="2" s="1"/>
  <c r="F485" i="2" s="1"/>
  <c r="DI483" i="2"/>
  <c r="DJ483" i="2" s="1"/>
  <c r="EE483" i="2"/>
  <c r="I484" i="2"/>
  <c r="V484" i="2" l="1"/>
  <c r="L484" i="2"/>
  <c r="Q484" i="2"/>
  <c r="U484" i="2"/>
  <c r="F615" i="2"/>
  <c r="CB484" i="2"/>
  <c r="BL484" i="2"/>
  <c r="CF484" i="2"/>
  <c r="CP484" i="2"/>
  <c r="BP484" i="2"/>
  <c r="BF484" i="2"/>
  <c r="BG484" i="2" s="1"/>
  <c r="BH484" i="2" s="1"/>
  <c r="BI484" i="2" s="1"/>
  <c r="CC484" i="2" l="1"/>
  <c r="CG484" i="2"/>
  <c r="N484" i="2"/>
  <c r="AN493" i="2" s="1"/>
  <c r="AO493" i="2" s="1"/>
  <c r="M484" i="2"/>
  <c r="O484" i="2" l="1"/>
  <c r="P484" i="2" s="1"/>
  <c r="R484" i="2" s="1"/>
  <c r="S484" i="2" l="1"/>
  <c r="K484" i="2" s="1"/>
  <c r="T484" i="2" s="1"/>
  <c r="W484" i="2"/>
  <c r="X484" i="2" s="1"/>
  <c r="Y484" i="2" s="1"/>
  <c r="Z484" i="2" s="1"/>
  <c r="AA484" i="2" l="1"/>
  <c r="CQ484" i="2"/>
  <c r="CA484" i="2" l="1"/>
  <c r="CH484" i="2" s="1"/>
  <c r="BK484" i="2"/>
  <c r="BR484" i="2" s="1"/>
  <c r="CE484" i="2"/>
  <c r="BO484" i="2"/>
  <c r="BJ485" i="2" l="1"/>
  <c r="CU484" i="2"/>
  <c r="BU484" i="2"/>
  <c r="BT484" i="2"/>
  <c r="BS484" i="2"/>
  <c r="BZ485" i="2"/>
  <c r="DK484" i="2"/>
  <c r="CJ484" i="2"/>
  <c r="CI484" i="2"/>
  <c r="CK484" i="2"/>
  <c r="BV484" i="2" l="1"/>
  <c r="BW484" i="2" s="1"/>
  <c r="CR484" i="2"/>
  <c r="CS484" i="2" s="1"/>
  <c r="CT484" i="2" s="1"/>
  <c r="CD485" i="2"/>
  <c r="CY484" i="2"/>
  <c r="DO484" i="2"/>
  <c r="DL484" i="2"/>
  <c r="DM484" i="2"/>
  <c r="DN484" i="2"/>
  <c r="CL484" i="2"/>
  <c r="CM484" i="2" s="1"/>
  <c r="BN485" i="2"/>
  <c r="DQ484" i="2" l="1"/>
  <c r="DP484" i="2"/>
  <c r="DS484" i="2" s="1"/>
  <c r="DR484" i="2"/>
  <c r="CV484" i="2"/>
  <c r="CZ484" i="2"/>
  <c r="CW484" i="2"/>
  <c r="EA484" i="2"/>
  <c r="DA484" i="2"/>
  <c r="EB484" i="2"/>
  <c r="CN484" i="2"/>
  <c r="BX484" i="2"/>
  <c r="D485" i="2"/>
  <c r="DU484" i="2" l="1"/>
  <c r="DT484" i="2"/>
  <c r="DW484" i="2" s="1"/>
  <c r="DX484" i="2" s="1"/>
  <c r="DV484" i="2"/>
  <c r="B485" i="2"/>
  <c r="BY484" i="2"/>
  <c r="AD485" i="2"/>
  <c r="E485" i="2"/>
  <c r="CO484" i="2"/>
  <c r="AF485" i="2" l="1"/>
  <c r="AG485" i="2" s="1"/>
  <c r="AI485" i="2" s="1"/>
  <c r="AH485" i="2"/>
  <c r="AE485" i="2"/>
  <c r="AL485" i="2"/>
  <c r="AM485" i="2"/>
  <c r="DY484" i="2"/>
  <c r="DZ484" i="2" s="1"/>
  <c r="G485" i="2"/>
  <c r="AU485" i="2" s="1"/>
  <c r="AY485" i="2"/>
  <c r="AV485" i="2"/>
  <c r="BC485" i="2"/>
  <c r="BD485" i="2"/>
  <c r="CX484" i="2"/>
  <c r="DC484" i="2" s="1"/>
  <c r="DB484" i="2"/>
  <c r="AJ485" i="2" l="1"/>
  <c r="AC485" i="2" s="1"/>
  <c r="AK485" i="2" s="1"/>
  <c r="C486" i="2" s="1"/>
  <c r="AP485" i="2"/>
  <c r="AQ485" i="2" s="1"/>
  <c r="AR485" i="2" s="1"/>
  <c r="DF484" i="2"/>
  <c r="DD484" i="2"/>
  <c r="DE484" i="2"/>
  <c r="AW485" i="2"/>
  <c r="AX485" i="2" s="1"/>
  <c r="AZ485" i="2" s="1"/>
  <c r="BA485" i="2" l="1"/>
  <c r="AT485" i="2" s="1"/>
  <c r="BB485" i="2" s="1"/>
  <c r="F486" i="2" s="1"/>
  <c r="BE486" i="2"/>
  <c r="DG484" i="2"/>
  <c r="BM485" i="2"/>
  <c r="BQ485" i="2"/>
  <c r="DH484" i="2" l="1"/>
  <c r="EC484" i="2"/>
  <c r="ED484" i="2" s="1"/>
  <c r="BF485" i="2"/>
  <c r="BG485" i="2" s="1"/>
  <c r="BH485" i="2" s="1"/>
  <c r="BI485" i="2" s="1"/>
  <c r="CC485" i="2" l="1"/>
  <c r="CG485" i="2"/>
  <c r="I485" i="2"/>
  <c r="EE484" i="2"/>
  <c r="DI484" i="2"/>
  <c r="DJ484" i="2" s="1"/>
  <c r="L485" i="2" l="1"/>
  <c r="Q485" i="2"/>
  <c r="U485" i="2"/>
  <c r="V485" i="2"/>
  <c r="F616" i="2"/>
  <c r="CB485" i="2"/>
  <c r="BL485" i="2"/>
  <c r="CF485" i="2"/>
  <c r="CP485" i="2"/>
  <c r="BP485" i="2"/>
  <c r="M485" i="2" l="1"/>
  <c r="N485" i="2"/>
  <c r="AN494" i="2" s="1"/>
  <c r="AO494" i="2" s="1"/>
  <c r="O485" i="2" l="1"/>
  <c r="P485" i="2" s="1"/>
  <c r="R485" i="2" s="1"/>
  <c r="S485" i="2" l="1"/>
  <c r="K485" i="2" s="1"/>
  <c r="T485" i="2" s="1"/>
  <c r="W485" i="2"/>
  <c r="X485" i="2" s="1"/>
  <c r="Y485" i="2" s="1"/>
  <c r="Z485" i="2" s="1"/>
  <c r="AA485" i="2" l="1"/>
  <c r="CQ485" i="2"/>
  <c r="CA485" i="2" l="1"/>
  <c r="CH485" i="2" s="1"/>
  <c r="BK485" i="2"/>
  <c r="BR485" i="2" s="1"/>
  <c r="CE485" i="2"/>
  <c r="BO485" i="2"/>
  <c r="BJ486" i="2" l="1"/>
  <c r="CU485" i="2"/>
  <c r="BU485" i="2"/>
  <c r="BT485" i="2"/>
  <c r="BS485" i="2"/>
  <c r="BZ486" i="2"/>
  <c r="DK485" i="2"/>
  <c r="CK485" i="2"/>
  <c r="CI485" i="2"/>
  <c r="CJ485" i="2"/>
  <c r="BV485" i="2" l="1"/>
  <c r="BW485" i="2" s="1"/>
  <c r="CD486" i="2"/>
  <c r="CY485" i="2"/>
  <c r="CR485" i="2"/>
  <c r="CS485" i="2" s="1"/>
  <c r="CT485" i="2" s="1"/>
  <c r="DO485" i="2"/>
  <c r="DN485" i="2"/>
  <c r="DM485" i="2"/>
  <c r="DL485" i="2"/>
  <c r="CL485" i="2"/>
  <c r="CM485" i="2" s="1"/>
  <c r="BN486" i="2"/>
  <c r="DR485" i="2" l="1"/>
  <c r="DP485" i="2"/>
  <c r="DS485" i="2" s="1"/>
  <c r="DQ485" i="2"/>
  <c r="CV485" i="2"/>
  <c r="CZ485" i="2"/>
  <c r="DA485" i="2"/>
  <c r="EA485" i="2"/>
  <c r="CW485" i="2"/>
  <c r="EB485" i="2"/>
  <c r="CN485" i="2"/>
  <c r="D486" i="2"/>
  <c r="BX485" i="2"/>
  <c r="DV485" i="2" l="1"/>
  <c r="DU485" i="2"/>
  <c r="DT485" i="2"/>
  <c r="DW485" i="2" s="1"/>
  <c r="DX485" i="2" s="1"/>
  <c r="B486" i="2"/>
  <c r="BY485" i="2"/>
  <c r="AD486" i="2"/>
  <c r="E486" i="2"/>
  <c r="CO485" i="2"/>
  <c r="CX485" i="2" l="1"/>
  <c r="DC485" i="2" s="1"/>
  <c r="DB485" i="2"/>
  <c r="AY486" i="2"/>
  <c r="AV486" i="2"/>
  <c r="BC486" i="2"/>
  <c r="BD486" i="2"/>
  <c r="AH486" i="2"/>
  <c r="AE486" i="2"/>
  <c r="AL486" i="2"/>
  <c r="AM486" i="2"/>
  <c r="DY485" i="2"/>
  <c r="DZ485" i="2" s="1"/>
  <c r="G486" i="2"/>
  <c r="AU486" i="2" s="1"/>
  <c r="AF486" i="2"/>
  <c r="AG486" i="2" s="1"/>
  <c r="AI486" i="2" s="1"/>
  <c r="AJ486" i="2" l="1"/>
  <c r="AC486" i="2" s="1"/>
  <c r="AK486" i="2" s="1"/>
  <c r="C487" i="2" s="1"/>
  <c r="AP486" i="2"/>
  <c r="AQ486" i="2" s="1"/>
  <c r="AR486" i="2" s="1"/>
  <c r="AW486" i="2"/>
  <c r="AX486" i="2" s="1"/>
  <c r="AZ486" i="2" s="1"/>
  <c r="DF485" i="2"/>
  <c r="DG485" i="2" s="1"/>
  <c r="DE485" i="2"/>
  <c r="DD485" i="2"/>
  <c r="BE487" i="2" l="1"/>
  <c r="BA486" i="2"/>
  <c r="AT486" i="2" s="1"/>
  <c r="BB486" i="2" s="1"/>
  <c r="F487" i="2" s="1"/>
  <c r="DH485" i="2"/>
  <c r="EC485" i="2"/>
  <c r="ED485" i="2" s="1"/>
  <c r="BM486" i="2"/>
  <c r="BQ486" i="2"/>
  <c r="DI485" i="2" l="1"/>
  <c r="DJ485" i="2" s="1"/>
  <c r="I486" i="2"/>
  <c r="EE485" i="2"/>
  <c r="BF486" i="2"/>
  <c r="BG486" i="2" s="1"/>
  <c r="BH486" i="2" s="1"/>
  <c r="BI486" i="2" s="1"/>
  <c r="L486" i="2" l="1"/>
  <c r="Q486" i="2"/>
  <c r="U486" i="2"/>
  <c r="V486" i="2"/>
  <c r="F617" i="2"/>
  <c r="BP486" i="2"/>
  <c r="CP486" i="2"/>
  <c r="CB486" i="2"/>
  <c r="BL486" i="2"/>
  <c r="CF486" i="2"/>
  <c r="CC486" i="2"/>
  <c r="CG486" i="2"/>
  <c r="M486" i="2" l="1"/>
  <c r="N486" i="2"/>
  <c r="AN495" i="2" s="1"/>
  <c r="AO495" i="2" s="1"/>
  <c r="O486" i="2" l="1"/>
  <c r="P486" i="2" s="1"/>
  <c r="R486" i="2" s="1"/>
  <c r="S486" i="2" l="1"/>
  <c r="K486" i="2" s="1"/>
  <c r="T486" i="2" s="1"/>
  <c r="W486" i="2"/>
  <c r="X486" i="2" s="1"/>
  <c r="Y486" i="2" s="1"/>
  <c r="Z486" i="2" s="1"/>
  <c r="CQ486" i="2" l="1"/>
  <c r="AA486" i="2"/>
  <c r="BK486" i="2" l="1"/>
  <c r="BR486" i="2" s="1"/>
  <c r="CE486" i="2"/>
  <c r="BO486" i="2"/>
  <c r="CA486" i="2"/>
  <c r="CH486" i="2" s="1"/>
  <c r="DK486" i="2" l="1"/>
  <c r="BZ487" i="2"/>
  <c r="CK486" i="2"/>
  <c r="CI486" i="2"/>
  <c r="CJ486" i="2"/>
  <c r="CU486" i="2"/>
  <c r="BJ487" i="2"/>
  <c r="BU486" i="2"/>
  <c r="BT486" i="2"/>
  <c r="BS486" i="2"/>
  <c r="BV486" i="2" l="1"/>
  <c r="BW486" i="2" s="1"/>
  <c r="CL486" i="2"/>
  <c r="CM486" i="2" s="1"/>
  <c r="BN487" i="2"/>
  <c r="CR486" i="2"/>
  <c r="CS486" i="2" s="1"/>
  <c r="CT486" i="2" s="1"/>
  <c r="CY486" i="2"/>
  <c r="CD487" i="2"/>
  <c r="DO486" i="2"/>
  <c r="DL486" i="2"/>
  <c r="DM486" i="2"/>
  <c r="DN486" i="2"/>
  <c r="DS486" i="2" l="1"/>
  <c r="DR486" i="2"/>
  <c r="DP486" i="2"/>
  <c r="DQ486" i="2"/>
  <c r="CN486" i="2"/>
  <c r="CV486" i="2"/>
  <c r="CZ486" i="2"/>
  <c r="EA486" i="2"/>
  <c r="CW486" i="2"/>
  <c r="DA486" i="2"/>
  <c r="EB486" i="2"/>
  <c r="D487" i="2"/>
  <c r="BX486" i="2"/>
  <c r="B487" i="2" l="1"/>
  <c r="BY486" i="2"/>
  <c r="DU486" i="2"/>
  <c r="DT486" i="2"/>
  <c r="DV486" i="2"/>
  <c r="AD487" i="2"/>
  <c r="E487" i="2"/>
  <c r="CO486" i="2"/>
  <c r="DW486" i="2" l="1"/>
  <c r="DX486" i="2" s="1"/>
  <c r="AY487" i="2"/>
  <c r="AV487" i="2"/>
  <c r="BC487" i="2"/>
  <c r="BD487" i="2"/>
  <c r="CX486" i="2"/>
  <c r="DB486" i="2"/>
  <c r="AF487" i="2"/>
  <c r="AG487" i="2" s="1"/>
  <c r="AI487" i="2" s="1"/>
  <c r="AH487" i="2"/>
  <c r="AE487" i="2"/>
  <c r="AL487" i="2"/>
  <c r="AM487" i="2"/>
  <c r="AJ487" i="2" l="1"/>
  <c r="AC487" i="2" s="1"/>
  <c r="AK487" i="2" s="1"/>
  <c r="C488" i="2" s="1"/>
  <c r="AP487" i="2"/>
  <c r="AQ487" i="2" s="1"/>
  <c r="AR487" i="2" s="1"/>
  <c r="DC486" i="2"/>
  <c r="DY486" i="2"/>
  <c r="DZ486" i="2" s="1"/>
  <c r="G487" i="2"/>
  <c r="AU487" i="2" s="1"/>
  <c r="AW487" i="2" l="1"/>
  <c r="AX487" i="2" s="1"/>
  <c r="AZ487" i="2" s="1"/>
  <c r="DF486" i="2"/>
  <c r="DD486" i="2"/>
  <c r="DE486" i="2"/>
  <c r="BM487" i="2"/>
  <c r="BQ487" i="2"/>
  <c r="BE488" i="2" l="1"/>
  <c r="BA487" i="2"/>
  <c r="AT487" i="2" s="1"/>
  <c r="BB487" i="2" s="1"/>
  <c r="F488" i="2" s="1"/>
  <c r="DG486" i="2"/>
  <c r="DH486" i="2" l="1"/>
  <c r="EC486" i="2"/>
  <c r="ED486" i="2" s="1"/>
  <c r="BF487" i="2"/>
  <c r="BG487" i="2" s="1"/>
  <c r="BH487" i="2" s="1"/>
  <c r="BI487" i="2" s="1"/>
  <c r="DI486" i="2" l="1"/>
  <c r="DJ486" i="2" s="1"/>
  <c r="CC487" i="2"/>
  <c r="CG487" i="2"/>
  <c r="I487" i="2"/>
  <c r="EE486" i="2"/>
  <c r="Q487" i="2" l="1"/>
  <c r="U487" i="2"/>
  <c r="V487" i="2"/>
  <c r="L487" i="2"/>
  <c r="F618" i="2"/>
  <c r="CB487" i="2"/>
  <c r="BL487" i="2"/>
  <c r="CF487" i="2"/>
  <c r="BP487" i="2"/>
  <c r="CP487" i="2"/>
  <c r="M487" i="2" l="1"/>
  <c r="N487" i="2"/>
  <c r="AN496" i="2" s="1"/>
  <c r="AO496" i="2" s="1"/>
  <c r="O487" i="2" l="1"/>
  <c r="P487" i="2" s="1"/>
  <c r="R487" i="2" s="1"/>
  <c r="S487" i="2" l="1"/>
  <c r="K487" i="2" s="1"/>
  <c r="T487" i="2" s="1"/>
  <c r="W487" i="2"/>
  <c r="X487" i="2" s="1"/>
  <c r="Y487" i="2" s="1"/>
  <c r="Z487" i="2" s="1"/>
  <c r="CQ487" i="2" l="1"/>
  <c r="AA487" i="2"/>
  <c r="BO487" i="2" l="1"/>
  <c r="CA487" i="2"/>
  <c r="BK487" i="2"/>
  <c r="BR487" i="2" s="1"/>
  <c r="CE487" i="2"/>
  <c r="CH487" i="2" l="1"/>
  <c r="CU487" i="2"/>
  <c r="BJ488" i="2"/>
  <c r="BU487" i="2"/>
  <c r="BS487" i="2"/>
  <c r="BT487" i="2"/>
  <c r="BV487" i="2" l="1"/>
  <c r="BW487" i="2" s="1"/>
  <c r="BN488" i="2"/>
  <c r="CY487" i="2"/>
  <c r="DK487" i="2"/>
  <c r="BZ488" i="2"/>
  <c r="CK487" i="2"/>
  <c r="CR487" i="2" s="1"/>
  <c r="CS487" i="2" s="1"/>
  <c r="CT487" i="2" s="1"/>
  <c r="CI487" i="2"/>
  <c r="CJ487" i="2"/>
  <c r="CD488" i="2" l="1"/>
  <c r="DO487" i="2"/>
  <c r="DN487" i="2"/>
  <c r="DL487" i="2"/>
  <c r="DM487" i="2"/>
  <c r="CL487" i="2"/>
  <c r="CM487" i="2" s="1"/>
  <c r="CV487" i="2"/>
  <c r="CZ487" i="2"/>
  <c r="CW487" i="2"/>
  <c r="EA487" i="2"/>
  <c r="DA487" i="2"/>
  <c r="EB487" i="2"/>
  <c r="BX487" i="2"/>
  <c r="D488" i="2"/>
  <c r="B488" i="2" l="1"/>
  <c r="BY487" i="2"/>
  <c r="DR487" i="2"/>
  <c r="DP487" i="2"/>
  <c r="DS487" i="2" s="1"/>
  <c r="DQ487" i="2"/>
  <c r="AD488" i="2"/>
  <c r="CN487" i="2"/>
  <c r="DV487" i="2" l="1"/>
  <c r="DU487" i="2"/>
  <c r="DT487" i="2"/>
  <c r="AF488" i="2"/>
  <c r="AG488" i="2" s="1"/>
  <c r="AI488" i="2" s="1"/>
  <c r="CX487" i="2"/>
  <c r="DC487" i="2" s="1"/>
  <c r="DB487" i="2"/>
  <c r="AE488" i="2"/>
  <c r="AH488" i="2"/>
  <c r="AM488" i="2"/>
  <c r="AL488" i="2"/>
  <c r="E488" i="2"/>
  <c r="CO487" i="2"/>
  <c r="AJ488" i="2" l="1"/>
  <c r="AC488" i="2" s="1"/>
  <c r="AK488" i="2" s="1"/>
  <c r="C489" i="2" s="1"/>
  <c r="AP488" i="2"/>
  <c r="AQ488" i="2" s="1"/>
  <c r="AR488" i="2" s="1"/>
  <c r="AV488" i="2"/>
  <c r="AY488" i="2"/>
  <c r="BD488" i="2"/>
  <c r="BC488" i="2"/>
  <c r="DF487" i="2"/>
  <c r="DD487" i="2"/>
  <c r="DE487" i="2"/>
  <c r="DW487" i="2"/>
  <c r="DX487" i="2" s="1"/>
  <c r="DY487" i="2" l="1"/>
  <c r="DZ487" i="2" s="1"/>
  <c r="G488" i="2"/>
  <c r="AU488" i="2" s="1"/>
  <c r="BM488" i="2"/>
  <c r="BQ488" i="2"/>
  <c r="DG487" i="2"/>
  <c r="AW488" i="2" l="1"/>
  <c r="AX488" i="2" s="1"/>
  <c r="AZ488" i="2" s="1"/>
  <c r="DH487" i="2"/>
  <c r="EC487" i="2"/>
  <c r="ED487" i="2" s="1"/>
  <c r="BE489" i="2" l="1"/>
  <c r="BA488" i="2"/>
  <c r="AT488" i="2" s="1"/>
  <c r="BB488" i="2" s="1"/>
  <c r="F489" i="2" s="1"/>
  <c r="DI487" i="2"/>
  <c r="DJ487" i="2" s="1"/>
  <c r="I488" i="2"/>
  <c r="EE487" i="2"/>
  <c r="V488" i="2" l="1"/>
  <c r="L488" i="2"/>
  <c r="Q488" i="2"/>
  <c r="U488" i="2"/>
  <c r="F619" i="2"/>
  <c r="BP488" i="2"/>
  <c r="CB488" i="2"/>
  <c r="BL488" i="2"/>
  <c r="CF488" i="2"/>
  <c r="CP488" i="2"/>
  <c r="BF488" i="2"/>
  <c r="BG488" i="2" s="1"/>
  <c r="BH488" i="2" s="1"/>
  <c r="BI488" i="2" s="1"/>
  <c r="CC488" i="2" l="1"/>
  <c r="CG488" i="2"/>
  <c r="N488" i="2"/>
  <c r="AN497" i="2" s="1"/>
  <c r="AO497" i="2" s="1"/>
  <c r="M488" i="2"/>
  <c r="O488" i="2" l="1"/>
  <c r="P488" i="2" s="1"/>
  <c r="R488" i="2" s="1"/>
  <c r="S488" i="2" l="1"/>
  <c r="K488" i="2" s="1"/>
  <c r="T488" i="2" s="1"/>
  <c r="W488" i="2"/>
  <c r="X488" i="2" s="1"/>
  <c r="Y488" i="2"/>
  <c r="Z488" i="2" s="1"/>
  <c r="AA488" i="2" l="1"/>
  <c r="CQ488" i="2"/>
  <c r="CA488" i="2" l="1"/>
  <c r="BK488" i="2"/>
  <c r="CE488" i="2"/>
  <c r="BO488" i="2"/>
  <c r="BR488" i="2" l="1"/>
  <c r="CH488" i="2"/>
  <c r="BZ489" i="2" l="1"/>
  <c r="DK488" i="2"/>
  <c r="CI488" i="2"/>
  <c r="CJ488" i="2"/>
  <c r="CK488" i="2"/>
  <c r="BJ489" i="2"/>
  <c r="CU488" i="2"/>
  <c r="BU488" i="2"/>
  <c r="BT488" i="2"/>
  <c r="BS488" i="2"/>
  <c r="CY488" i="2" l="1"/>
  <c r="BV488" i="2"/>
  <c r="BW488" i="2" s="1"/>
  <c r="CL488" i="2"/>
  <c r="CM488" i="2" s="1"/>
  <c r="BN489" i="2"/>
  <c r="DO488" i="2"/>
  <c r="DL488" i="2"/>
  <c r="DM488" i="2"/>
  <c r="DN488" i="2"/>
  <c r="CD489" i="2"/>
  <c r="DP488" i="2" l="1"/>
  <c r="DS488" i="2" s="1"/>
  <c r="DQ488" i="2"/>
  <c r="DR488" i="2"/>
  <c r="BX488" i="2"/>
  <c r="D489" i="2"/>
  <c r="CR488" i="2"/>
  <c r="CS488" i="2" s="1"/>
  <c r="CT488" i="2" s="1"/>
  <c r="CN488" i="2"/>
  <c r="DT488" i="2" l="1"/>
  <c r="DU488" i="2"/>
  <c r="DV488" i="2"/>
  <c r="E489" i="2"/>
  <c r="CO488" i="2"/>
  <c r="CV488" i="2"/>
  <c r="CZ488" i="2"/>
  <c r="DA488" i="2"/>
  <c r="CW488" i="2"/>
  <c r="EA488" i="2"/>
  <c r="EB488" i="2"/>
  <c r="B489" i="2"/>
  <c r="BY488" i="2"/>
  <c r="AH489" i="2" l="1"/>
  <c r="AE489" i="2"/>
  <c r="AM489" i="2"/>
  <c r="AL489" i="2"/>
  <c r="AD489" i="2"/>
  <c r="AY489" i="2"/>
  <c r="AV489" i="2"/>
  <c r="BD489" i="2"/>
  <c r="BC489" i="2"/>
  <c r="CX488" i="2"/>
  <c r="DC488" i="2" s="1"/>
  <c r="DB488" i="2"/>
  <c r="DW488" i="2"/>
  <c r="DX488" i="2" s="1"/>
  <c r="DF488" i="2" l="1"/>
  <c r="DE488" i="2"/>
  <c r="DD488" i="2"/>
  <c r="DY488" i="2"/>
  <c r="DZ488" i="2" s="1"/>
  <c r="G489" i="2"/>
  <c r="AU489" i="2" s="1"/>
  <c r="AF489" i="2"/>
  <c r="AG489" i="2" s="1"/>
  <c r="AI489" i="2" s="1"/>
  <c r="AJ489" i="2" l="1"/>
  <c r="AC489" i="2" s="1"/>
  <c r="AK489" i="2" s="1"/>
  <c r="C490" i="2" s="1"/>
  <c r="AP489" i="2"/>
  <c r="AQ489" i="2" s="1"/>
  <c r="AR489" i="2" s="1"/>
  <c r="AW489" i="2"/>
  <c r="AX489" i="2" s="1"/>
  <c r="AZ489" i="2" s="1"/>
  <c r="DG488" i="2"/>
  <c r="BA489" i="2" l="1"/>
  <c r="AT489" i="2" s="1"/>
  <c r="BB489" i="2" s="1"/>
  <c r="F490" i="2" s="1"/>
  <c r="BE490" i="2"/>
  <c r="DH488" i="2"/>
  <c r="EC488" i="2"/>
  <c r="ED488" i="2" s="1"/>
  <c r="BM489" i="2"/>
  <c r="BQ489" i="2"/>
  <c r="I489" i="2" l="1"/>
  <c r="EE488" i="2"/>
  <c r="DI488" i="2"/>
  <c r="DJ488" i="2" s="1"/>
  <c r="BF489" i="2"/>
  <c r="BG489" i="2" s="1"/>
  <c r="BH489" i="2" s="1"/>
  <c r="BI489" i="2" s="1"/>
  <c r="CC489" i="2" l="1"/>
  <c r="CG489" i="2"/>
  <c r="L489" i="2"/>
  <c r="Q489" i="2"/>
  <c r="U489" i="2"/>
  <c r="V489" i="2"/>
  <c r="F620" i="2"/>
  <c r="BL489" i="2"/>
  <c r="CF489" i="2"/>
  <c r="CP489" i="2"/>
  <c r="BP489" i="2"/>
  <c r="CB489" i="2"/>
  <c r="M489" i="2" l="1"/>
  <c r="N489" i="2"/>
  <c r="AN498" i="2" s="1"/>
  <c r="O489" i="2" l="1"/>
  <c r="P489" i="2" s="1"/>
  <c r="R489" i="2" s="1"/>
  <c r="S489" i="2" l="1"/>
  <c r="K489" i="2" s="1"/>
  <c r="T489" i="2" s="1"/>
  <c r="W489" i="2"/>
  <c r="X489" i="2" s="1"/>
  <c r="Y489" i="2"/>
  <c r="Z489" i="2" s="1"/>
  <c r="AA489" i="2" l="1"/>
  <c r="CQ489" i="2"/>
  <c r="BK489" i="2" l="1"/>
  <c r="BR489" i="2" s="1"/>
  <c r="CE489" i="2"/>
  <c r="BO489" i="2"/>
  <c r="CA489" i="2"/>
  <c r="BJ490" i="2" l="1"/>
  <c r="CU489" i="2"/>
  <c r="BU489" i="2"/>
  <c r="BT489" i="2"/>
  <c r="BS489" i="2"/>
  <c r="CH489" i="2"/>
  <c r="BV489" i="2" l="1"/>
  <c r="BW489" i="2" s="1"/>
  <c r="BZ490" i="2"/>
  <c r="DK489" i="2"/>
  <c r="CI489" i="2"/>
  <c r="CJ489" i="2"/>
  <c r="CK489" i="2"/>
  <c r="CR489" i="2" s="1"/>
  <c r="CS489" i="2" s="1"/>
  <c r="CT489" i="2" s="1"/>
  <c r="CY489" i="2"/>
  <c r="BN490" i="2"/>
  <c r="CL489" i="2" l="1"/>
  <c r="CM489" i="2" s="1"/>
  <c r="DO489" i="2"/>
  <c r="DN489" i="2"/>
  <c r="DL489" i="2"/>
  <c r="DM489" i="2"/>
  <c r="CV489" i="2"/>
  <c r="CZ489" i="2"/>
  <c r="EA489" i="2"/>
  <c r="CW489" i="2"/>
  <c r="DA489" i="2"/>
  <c r="EB489" i="2"/>
  <c r="CD490" i="2"/>
  <c r="D490" i="2"/>
  <c r="BX489" i="2"/>
  <c r="DR489" i="2" l="1"/>
  <c r="DP489" i="2"/>
  <c r="DS489" i="2" s="1"/>
  <c r="DQ489" i="2"/>
  <c r="B490" i="2"/>
  <c r="BY489" i="2"/>
  <c r="AD490" i="2"/>
  <c r="CN489" i="2"/>
  <c r="DV489" i="2" l="1"/>
  <c r="DT489" i="2"/>
  <c r="DU489" i="2"/>
  <c r="E490" i="2"/>
  <c r="CO489" i="2"/>
  <c r="CX489" i="2"/>
  <c r="DC489" i="2" s="1"/>
  <c r="DB489" i="2"/>
  <c r="AF490" i="2"/>
  <c r="AG490" i="2" s="1"/>
  <c r="AI490" i="2" s="1"/>
  <c r="AH490" i="2"/>
  <c r="AE490" i="2"/>
  <c r="AM490" i="2"/>
  <c r="AL490" i="2"/>
  <c r="AJ490" i="2" l="1"/>
  <c r="AC490" i="2" s="1"/>
  <c r="AK490" i="2" s="1"/>
  <c r="C491" i="2" s="1"/>
  <c r="AP490" i="2"/>
  <c r="AQ490" i="2" s="1"/>
  <c r="AR490" i="2" s="1"/>
  <c r="AY490" i="2"/>
  <c r="AV490" i="2"/>
  <c r="BC490" i="2"/>
  <c r="BD490" i="2"/>
  <c r="DF489" i="2"/>
  <c r="DD489" i="2"/>
  <c r="DE489" i="2"/>
  <c r="DW489" i="2"/>
  <c r="DX489" i="2" s="1"/>
  <c r="DG489" i="2" l="1"/>
  <c r="DY489" i="2"/>
  <c r="DZ489" i="2" s="1"/>
  <c r="G490" i="2"/>
  <c r="AU490" i="2" s="1"/>
  <c r="BM490" i="2"/>
  <c r="BQ490" i="2"/>
  <c r="AW490" i="2" l="1"/>
  <c r="AX490" i="2" s="1"/>
  <c r="AZ490" i="2" s="1"/>
  <c r="DH489" i="2"/>
  <c r="EC489" i="2"/>
  <c r="ED489" i="2" s="1"/>
  <c r="BE491" i="2" l="1"/>
  <c r="BA490" i="2"/>
  <c r="AT490" i="2" s="1"/>
  <c r="BB490" i="2" s="1"/>
  <c r="F491" i="2" s="1"/>
  <c r="DI489" i="2"/>
  <c r="DJ489" i="2" s="1"/>
  <c r="I490" i="2"/>
  <c r="EE489" i="2"/>
  <c r="L490" i="2" l="1"/>
  <c r="Q490" i="2"/>
  <c r="U490" i="2"/>
  <c r="V490" i="2"/>
  <c r="F621" i="2"/>
  <c r="CB490" i="2"/>
  <c r="BL490" i="2"/>
  <c r="CF490" i="2"/>
  <c r="BP490" i="2"/>
  <c r="CP490" i="2"/>
  <c r="BF490" i="2"/>
  <c r="BG490" i="2" s="1"/>
  <c r="BH490" i="2" s="1"/>
  <c r="BI490" i="2" s="1"/>
  <c r="CC490" i="2" l="1"/>
  <c r="CG490" i="2"/>
  <c r="M490" i="2"/>
  <c r="N490" i="2"/>
  <c r="O490" i="2" l="1"/>
  <c r="P490" i="2" s="1"/>
  <c r="R490" i="2" s="1"/>
  <c r="S490" i="2" l="1"/>
  <c r="K490" i="2" s="1"/>
  <c r="T490" i="2" s="1"/>
  <c r="W490" i="2"/>
  <c r="X490" i="2" s="1"/>
  <c r="Y490" i="2" s="1"/>
  <c r="Z490" i="2" s="1"/>
  <c r="CQ490" i="2" l="1"/>
  <c r="AA490" i="2"/>
  <c r="CA490" i="2" l="1"/>
  <c r="CH490" i="2" s="1"/>
  <c r="BK490" i="2"/>
  <c r="BR490" i="2" s="1"/>
  <c r="CE490" i="2"/>
  <c r="BO490" i="2"/>
  <c r="CU490" i="2" l="1"/>
  <c r="BJ491" i="2"/>
  <c r="BU490" i="2"/>
  <c r="BT490" i="2"/>
  <c r="BS490" i="2"/>
  <c r="DK490" i="2"/>
  <c r="BZ491" i="2"/>
  <c r="CI490" i="2"/>
  <c r="CJ490" i="2"/>
  <c r="CK490" i="2"/>
  <c r="CL490" i="2" l="1"/>
  <c r="CM490" i="2" s="1"/>
  <c r="CD491" i="2"/>
  <c r="BV490" i="2"/>
  <c r="BW490" i="2" s="1"/>
  <c r="DO490" i="2"/>
  <c r="DM490" i="2"/>
  <c r="DL490" i="2"/>
  <c r="DN490" i="2"/>
  <c r="BN491" i="2"/>
  <c r="CY490" i="2"/>
  <c r="D491" i="2" l="1"/>
  <c r="BX490" i="2"/>
  <c r="DP490" i="2"/>
  <c r="DQ490" i="2"/>
  <c r="DS490" i="2" s="1"/>
  <c r="DR490" i="2"/>
  <c r="CR490" i="2"/>
  <c r="CS490" i="2" s="1"/>
  <c r="CT490" i="2" s="1"/>
  <c r="CN490" i="2"/>
  <c r="DU490" i="2" l="1"/>
  <c r="DT490" i="2"/>
  <c r="DV490" i="2"/>
  <c r="CV490" i="2"/>
  <c r="CZ490" i="2"/>
  <c r="EA490" i="2"/>
  <c r="CW490" i="2"/>
  <c r="DA490" i="2"/>
  <c r="EB490" i="2"/>
  <c r="B491" i="2"/>
  <c r="BY490" i="2"/>
  <c r="E491" i="2"/>
  <c r="CO490" i="2"/>
  <c r="AD491" i="2"/>
  <c r="AF491" i="2" l="1"/>
  <c r="AG491" i="2" s="1"/>
  <c r="AI491" i="2" s="1"/>
  <c r="AH491" i="2"/>
  <c r="AE491" i="2"/>
  <c r="AL491" i="2"/>
  <c r="AM491" i="2"/>
  <c r="AY491" i="2"/>
  <c r="AV491" i="2"/>
  <c r="BC491" i="2"/>
  <c r="BD491" i="2"/>
  <c r="DW490" i="2"/>
  <c r="DX490" i="2" s="1"/>
  <c r="CX490" i="2"/>
  <c r="DC490" i="2" s="1"/>
  <c r="DB490" i="2"/>
  <c r="DF490" i="2" l="1"/>
  <c r="DG490" i="2" s="1"/>
  <c r="DD490" i="2"/>
  <c r="DE490" i="2"/>
  <c r="AJ491" i="2"/>
  <c r="AC491" i="2" s="1"/>
  <c r="AK491" i="2" s="1"/>
  <c r="C492" i="2" s="1"/>
  <c r="AP491" i="2"/>
  <c r="AQ491" i="2" s="1"/>
  <c r="AR491" i="2" s="1"/>
  <c r="DY490" i="2"/>
  <c r="DZ490" i="2" s="1"/>
  <c r="G491" i="2"/>
  <c r="AU491" i="2" s="1"/>
  <c r="AW491" i="2" l="1"/>
  <c r="AX491" i="2" s="1"/>
  <c r="AZ491" i="2" s="1"/>
  <c r="BM491" i="2"/>
  <c r="BQ491" i="2"/>
  <c r="DH490" i="2"/>
  <c r="EC490" i="2"/>
  <c r="ED490" i="2" s="1"/>
  <c r="BE492" i="2" l="1"/>
  <c r="BA491" i="2"/>
  <c r="AT491" i="2" s="1"/>
  <c r="BB491" i="2" s="1"/>
  <c r="F492" i="2" s="1"/>
  <c r="I491" i="2"/>
  <c r="EE490" i="2"/>
  <c r="DI490" i="2"/>
  <c r="DJ490" i="2" s="1"/>
  <c r="Q491" i="2" l="1"/>
  <c r="U491" i="2"/>
  <c r="V491" i="2"/>
  <c r="L491" i="2"/>
  <c r="F622" i="2"/>
  <c r="BP491" i="2"/>
  <c r="CP491" i="2"/>
  <c r="CB491" i="2"/>
  <c r="BL491" i="2"/>
  <c r="CF491" i="2"/>
  <c r="BF491" i="2"/>
  <c r="BG491" i="2" s="1"/>
  <c r="BH491" i="2" s="1"/>
  <c r="BI491" i="2" s="1"/>
  <c r="CC491" i="2" l="1"/>
  <c r="CG491" i="2"/>
  <c r="M491" i="2"/>
  <c r="N491" i="2"/>
  <c r="O491" i="2" l="1"/>
  <c r="P491" i="2" s="1"/>
  <c r="R491" i="2" s="1"/>
  <c r="S491" i="2" l="1"/>
  <c r="K491" i="2" s="1"/>
  <c r="T491" i="2" s="1"/>
  <c r="W491" i="2"/>
  <c r="X491" i="2" s="1"/>
  <c r="Y491" i="2" s="1"/>
  <c r="Z491" i="2" s="1"/>
  <c r="CQ491" i="2" l="1"/>
  <c r="AA491" i="2"/>
  <c r="CA491" i="2" l="1"/>
  <c r="BK491" i="2"/>
  <c r="BR491" i="2" s="1"/>
  <c r="CE491" i="2"/>
  <c r="BO491" i="2"/>
  <c r="CU491" i="2" l="1"/>
  <c r="BJ492" i="2"/>
  <c r="BU491" i="2"/>
  <c r="BS491" i="2"/>
  <c r="BT491" i="2"/>
  <c r="CH491" i="2"/>
  <c r="BV491" i="2" l="1"/>
  <c r="BW491" i="2" s="1"/>
  <c r="DK491" i="2"/>
  <c r="BZ492" i="2"/>
  <c r="CJ491" i="2"/>
  <c r="CI491" i="2"/>
  <c r="CK491" i="2"/>
  <c r="CR491" i="2" s="1"/>
  <c r="CS491" i="2" s="1"/>
  <c r="CT491" i="2" s="1"/>
  <c r="BN492" i="2"/>
  <c r="CY491" i="2"/>
  <c r="CD492" i="2" l="1"/>
  <c r="CV491" i="2"/>
  <c r="CZ491" i="2"/>
  <c r="EA491" i="2"/>
  <c r="DA491" i="2"/>
  <c r="CW491" i="2"/>
  <c r="EB491" i="2"/>
  <c r="DO491" i="2"/>
  <c r="DL491" i="2"/>
  <c r="DM491" i="2"/>
  <c r="DN491" i="2"/>
  <c r="CL491" i="2"/>
  <c r="CM491" i="2" s="1"/>
  <c r="BX491" i="2"/>
  <c r="D492" i="2"/>
  <c r="DQ491" i="2" l="1"/>
  <c r="DP491" i="2"/>
  <c r="DS491" i="2" s="1"/>
  <c r="DR491" i="2"/>
  <c r="B492" i="2"/>
  <c r="AD492" i="2" s="1"/>
  <c r="BY491" i="2"/>
  <c r="CN491" i="2"/>
  <c r="AF492" i="2" l="1"/>
  <c r="AG492" i="2" s="1"/>
  <c r="AI492" i="2" s="1"/>
  <c r="DT491" i="2"/>
  <c r="DU491" i="2"/>
  <c r="DV491" i="2"/>
  <c r="E492" i="2"/>
  <c r="CO491" i="2"/>
  <c r="CX491" i="2"/>
  <c r="DB491" i="2"/>
  <c r="AE492" i="2"/>
  <c r="AH492" i="2"/>
  <c r="AM492" i="2"/>
  <c r="AL492" i="2"/>
  <c r="AJ492" i="2" l="1"/>
  <c r="AC492" i="2" s="1"/>
  <c r="AK492" i="2" s="1"/>
  <c r="C493" i="2" s="1"/>
  <c r="AP492" i="2"/>
  <c r="AQ492" i="2" s="1"/>
  <c r="AR492" i="2" s="1"/>
  <c r="DW491" i="2"/>
  <c r="DX491" i="2" s="1"/>
  <c r="AV492" i="2"/>
  <c r="AY492" i="2"/>
  <c r="BC492" i="2"/>
  <c r="BD492" i="2"/>
  <c r="DC491" i="2"/>
  <c r="DY491" i="2" l="1"/>
  <c r="DZ491" i="2" s="1"/>
  <c r="G492" i="2"/>
  <c r="AU492" i="2" s="1"/>
  <c r="DF491" i="2"/>
  <c r="DD491" i="2"/>
  <c r="DE491" i="2"/>
  <c r="BM492" i="2"/>
  <c r="BQ492" i="2"/>
  <c r="DG491" i="2" l="1"/>
  <c r="AW492" i="2"/>
  <c r="AX492" i="2" s="1"/>
  <c r="AZ492" i="2" s="1"/>
  <c r="BE493" i="2" l="1"/>
  <c r="BA492" i="2"/>
  <c r="AT492" i="2" s="1"/>
  <c r="BB492" i="2" s="1"/>
  <c r="F493" i="2" s="1"/>
  <c r="DH491" i="2"/>
  <c r="EC491" i="2"/>
  <c r="ED491" i="2" s="1"/>
  <c r="DI491" i="2" l="1"/>
  <c r="DJ491" i="2" s="1"/>
  <c r="EE491" i="2"/>
  <c r="I492" i="2"/>
  <c r="BF492" i="2"/>
  <c r="BG492" i="2" s="1"/>
  <c r="BH492" i="2" s="1"/>
  <c r="BI492" i="2" s="1"/>
  <c r="V492" i="2" l="1"/>
  <c r="L492" i="2"/>
  <c r="Q492" i="2"/>
  <c r="U492" i="2"/>
  <c r="F623" i="2"/>
  <c r="CB492" i="2"/>
  <c r="BL492" i="2"/>
  <c r="CF492" i="2"/>
  <c r="CP492" i="2"/>
  <c r="BP492" i="2"/>
  <c r="CC492" i="2"/>
  <c r="CG492" i="2"/>
  <c r="N492" i="2" l="1"/>
  <c r="M492" i="2"/>
  <c r="R492" i="2" l="1"/>
  <c r="O492" i="2"/>
  <c r="P492" i="2" s="1"/>
  <c r="S492" i="2" l="1"/>
  <c r="K492" i="2" s="1"/>
  <c r="T492" i="2" s="1"/>
  <c r="W492" i="2"/>
  <c r="X492" i="2" s="1"/>
  <c r="Y492" i="2" s="1"/>
  <c r="Z492" i="2" s="1"/>
  <c r="AA492" i="2" l="1"/>
  <c r="CQ492" i="2"/>
  <c r="CA492" i="2" l="1"/>
  <c r="BK492" i="2"/>
  <c r="BR492" i="2" s="1"/>
  <c r="CE492" i="2"/>
  <c r="BO492" i="2"/>
  <c r="BJ493" i="2" l="1"/>
  <c r="CU492" i="2"/>
  <c r="BU492" i="2"/>
  <c r="BT492" i="2"/>
  <c r="BS492" i="2"/>
  <c r="CH492" i="2"/>
  <c r="BV492" i="2" l="1"/>
  <c r="BW492" i="2" s="1"/>
  <c r="DK492" i="2"/>
  <c r="BZ493" i="2"/>
  <c r="CJ492" i="2"/>
  <c r="CI492" i="2"/>
  <c r="CK492" i="2"/>
  <c r="CR492" i="2" s="1"/>
  <c r="CS492" i="2" s="1"/>
  <c r="CT492" i="2" s="1"/>
  <c r="CY492" i="2"/>
  <c r="BN493" i="2"/>
  <c r="CD493" i="2" l="1"/>
  <c r="CV492" i="2"/>
  <c r="CZ492" i="2"/>
  <c r="CW492" i="2"/>
  <c r="EA492" i="2"/>
  <c r="DA492" i="2"/>
  <c r="EB492" i="2"/>
  <c r="DO492" i="2"/>
  <c r="DL492" i="2"/>
  <c r="DM492" i="2"/>
  <c r="DN492" i="2"/>
  <c r="CL492" i="2"/>
  <c r="CM492" i="2" s="1"/>
  <c r="BX492" i="2"/>
  <c r="D493" i="2"/>
  <c r="DR492" i="2" l="1"/>
  <c r="DQ492" i="2"/>
  <c r="DP492" i="2"/>
  <c r="DS492" i="2" s="1"/>
  <c r="B493" i="2"/>
  <c r="BY492" i="2"/>
  <c r="CN492" i="2"/>
  <c r="DU492" i="2" l="1"/>
  <c r="DV492" i="2"/>
  <c r="DT492" i="2"/>
  <c r="CX492" i="2"/>
  <c r="DC492" i="2" s="1"/>
  <c r="DB492" i="2"/>
  <c r="AH493" i="2"/>
  <c r="AE493" i="2"/>
  <c r="AL493" i="2"/>
  <c r="AM493" i="2"/>
  <c r="E493" i="2"/>
  <c r="CO492" i="2"/>
  <c r="AD493" i="2"/>
  <c r="DF492" i="2" l="1"/>
  <c r="DD492" i="2"/>
  <c r="DE492" i="2"/>
  <c r="AY493" i="2"/>
  <c r="AV493" i="2"/>
  <c r="BC493" i="2"/>
  <c r="BD493" i="2"/>
  <c r="DW492" i="2"/>
  <c r="DX492" i="2" s="1"/>
  <c r="AF493" i="2"/>
  <c r="AG493" i="2" s="1"/>
  <c r="AI493" i="2" s="1"/>
  <c r="AJ493" i="2" l="1"/>
  <c r="AC493" i="2" s="1"/>
  <c r="AK493" i="2" s="1"/>
  <c r="C494" i="2" s="1"/>
  <c r="AP493" i="2"/>
  <c r="AQ493" i="2" s="1"/>
  <c r="AR493" i="2" s="1"/>
  <c r="DY492" i="2"/>
  <c r="DZ492" i="2" s="1"/>
  <c r="G493" i="2"/>
  <c r="AU493" i="2" s="1"/>
  <c r="DG492" i="2"/>
  <c r="AW493" i="2" l="1"/>
  <c r="AX493" i="2" s="1"/>
  <c r="AZ493" i="2" s="1"/>
  <c r="DH492" i="2"/>
  <c r="EC492" i="2"/>
  <c r="ED492" i="2" s="1"/>
  <c r="BM493" i="2"/>
  <c r="BQ493" i="2"/>
  <c r="BA493" i="2" l="1"/>
  <c r="AT493" i="2" s="1"/>
  <c r="BB493" i="2" s="1"/>
  <c r="F494" i="2" s="1"/>
  <c r="BE494" i="2"/>
  <c r="I493" i="2"/>
  <c r="EE492" i="2"/>
  <c r="DI492" i="2"/>
  <c r="DJ492" i="2" s="1"/>
  <c r="L493" i="2" l="1"/>
  <c r="Q493" i="2"/>
  <c r="U493" i="2"/>
  <c r="V493" i="2"/>
  <c r="F624" i="2"/>
  <c r="CB493" i="2"/>
  <c r="BL493" i="2"/>
  <c r="CF493" i="2"/>
  <c r="CP493" i="2"/>
  <c r="BP493" i="2"/>
  <c r="BF493" i="2"/>
  <c r="BG493" i="2" s="1"/>
  <c r="BH493" i="2" s="1"/>
  <c r="BI493" i="2" s="1"/>
  <c r="CC493" i="2" l="1"/>
  <c r="CG493" i="2"/>
  <c r="M493" i="2"/>
  <c r="N493" i="2"/>
  <c r="O493" i="2" l="1"/>
  <c r="P493" i="2" s="1"/>
  <c r="R493" i="2" s="1"/>
  <c r="S493" i="2" l="1"/>
  <c r="K493" i="2" s="1"/>
  <c r="T493" i="2" s="1"/>
  <c r="W493" i="2"/>
  <c r="X493" i="2" s="1"/>
  <c r="Y493" i="2" s="1"/>
  <c r="Z493" i="2" s="1"/>
  <c r="AA493" i="2" l="1"/>
  <c r="CQ493" i="2"/>
  <c r="BK493" i="2" l="1"/>
  <c r="CE493" i="2"/>
  <c r="BO493" i="2"/>
  <c r="CA493" i="2"/>
  <c r="CH493" i="2" s="1"/>
  <c r="BZ494" i="2" l="1"/>
  <c r="DK493" i="2"/>
  <c r="CI493" i="2"/>
  <c r="CJ493" i="2"/>
  <c r="CK493" i="2"/>
  <c r="BR493" i="2"/>
  <c r="CL493" i="2" l="1"/>
  <c r="CM493" i="2" s="1"/>
  <c r="BJ494" i="2"/>
  <c r="CU493" i="2"/>
  <c r="BU493" i="2"/>
  <c r="BS493" i="2"/>
  <c r="BT493" i="2"/>
  <c r="DO493" i="2"/>
  <c r="DM493" i="2"/>
  <c r="DL493" i="2"/>
  <c r="DN493" i="2"/>
  <c r="CD494" i="2"/>
  <c r="BV493" i="2" l="1"/>
  <c r="DP493" i="2"/>
  <c r="DQ493" i="2"/>
  <c r="DR493" i="2"/>
  <c r="DS493" i="2" s="1"/>
  <c r="CY493" i="2"/>
  <c r="BN494" i="2"/>
  <c r="CN493" i="2"/>
  <c r="DT493" i="2" l="1"/>
  <c r="DU493" i="2"/>
  <c r="DV493" i="2"/>
  <c r="E494" i="2"/>
  <c r="CO493" i="2"/>
  <c r="BW493" i="2"/>
  <c r="CR493" i="2"/>
  <c r="CS493" i="2" s="1"/>
  <c r="CT493" i="2" s="1"/>
  <c r="CZ493" i="2" l="1"/>
  <c r="CV493" i="2"/>
  <c r="DA493" i="2"/>
  <c r="CW493" i="2"/>
  <c r="EA493" i="2"/>
  <c r="EB493" i="2"/>
  <c r="AV494" i="2"/>
  <c r="AY494" i="2"/>
  <c r="BC494" i="2"/>
  <c r="BD494" i="2"/>
  <c r="BX493" i="2"/>
  <c r="D494" i="2"/>
  <c r="DW493" i="2"/>
  <c r="DX493" i="2" s="1"/>
  <c r="AD494" i="2" l="1"/>
  <c r="B494" i="2"/>
  <c r="BY493" i="2"/>
  <c r="DY493" i="2"/>
  <c r="DZ493" i="2" s="1"/>
  <c r="G494" i="2"/>
  <c r="AU494" i="2" s="1"/>
  <c r="AW494" i="2" l="1"/>
  <c r="AX494" i="2" s="1"/>
  <c r="AZ494" i="2" s="1"/>
  <c r="AF494" i="2"/>
  <c r="AG494" i="2" s="1"/>
  <c r="AI494" i="2" s="1"/>
  <c r="CX493" i="2"/>
  <c r="DB493" i="2"/>
  <c r="AE494" i="2"/>
  <c r="AH494" i="2"/>
  <c r="AM494" i="2"/>
  <c r="AL494" i="2"/>
  <c r="AJ494" i="2" l="1"/>
  <c r="AC494" i="2" s="1"/>
  <c r="AK494" i="2" s="1"/>
  <c r="C495" i="2" s="1"/>
  <c r="AP494" i="2"/>
  <c r="AQ494" i="2" s="1"/>
  <c r="AR494" i="2" s="1"/>
  <c r="BA494" i="2"/>
  <c r="AT494" i="2" s="1"/>
  <c r="BB494" i="2" s="1"/>
  <c r="F495" i="2" s="1"/>
  <c r="BE495" i="2"/>
  <c r="DC493" i="2"/>
  <c r="BF494" i="2" l="1"/>
  <c r="BG494" i="2" s="1"/>
  <c r="BH494" i="2" s="1"/>
  <c r="BI494" i="2" s="1"/>
  <c r="BM494" i="2"/>
  <c r="BQ494" i="2"/>
  <c r="DF493" i="2"/>
  <c r="DD493" i="2"/>
  <c r="DE493" i="2"/>
  <c r="DG493" i="2" l="1"/>
  <c r="CC494" i="2"/>
  <c r="CG494" i="2"/>
  <c r="DH493" i="2" l="1"/>
  <c r="EC493" i="2"/>
  <c r="ED493" i="2" s="1"/>
  <c r="EE493" i="2" l="1"/>
  <c r="I494" i="2"/>
  <c r="DI493" i="2"/>
  <c r="DJ493" i="2" s="1"/>
  <c r="L494" i="2" l="1"/>
  <c r="U494" i="2"/>
  <c r="Q494" i="2"/>
  <c r="V494" i="2"/>
  <c r="F625" i="2"/>
  <c r="CP494" i="2"/>
  <c r="CB494" i="2"/>
  <c r="BL494" i="2"/>
  <c r="CF494" i="2"/>
  <c r="BP494" i="2"/>
  <c r="M494" i="2" l="1"/>
  <c r="N494" i="2"/>
  <c r="O494" i="2" l="1"/>
  <c r="P494" i="2" s="1"/>
  <c r="R494" i="2" s="1"/>
  <c r="W494" i="2" l="1"/>
  <c r="X494" i="2" s="1"/>
  <c r="S494" i="2"/>
  <c r="K494" i="2" s="1"/>
  <c r="T494" i="2" s="1"/>
  <c r="Y494" i="2"/>
  <c r="Z494" i="2" s="1"/>
  <c r="CQ494" i="2" l="1"/>
  <c r="AA494" i="2"/>
  <c r="BK494" i="2" l="1"/>
  <c r="CE494" i="2"/>
  <c r="BO494" i="2"/>
  <c r="CA494" i="2"/>
  <c r="CH494" i="2" s="1"/>
  <c r="DK494" i="2" l="1"/>
  <c r="BZ495" i="2"/>
  <c r="CK494" i="2"/>
  <c r="CI494" i="2"/>
  <c r="CL494" i="2" s="1"/>
  <c r="CM494" i="2" s="1"/>
  <c r="CJ494" i="2"/>
  <c r="BR494" i="2"/>
  <c r="CN494" i="2" l="1"/>
  <c r="CU494" i="2"/>
  <c r="BJ495" i="2"/>
  <c r="BU494" i="2"/>
  <c r="BS494" i="2"/>
  <c r="BT494" i="2"/>
  <c r="CD495" i="2"/>
  <c r="DO494" i="2"/>
  <c r="DN494" i="2"/>
  <c r="DL494" i="2"/>
  <c r="DM494" i="2"/>
  <c r="CY494" i="2" l="1"/>
  <c r="DR494" i="2"/>
  <c r="DQ494" i="2"/>
  <c r="DP494" i="2"/>
  <c r="DS494" i="2" s="1"/>
  <c r="E495" i="2"/>
  <c r="CO494" i="2"/>
  <c r="BV494" i="2"/>
  <c r="BN495" i="2"/>
  <c r="DV494" i="2" l="1"/>
  <c r="DT494" i="2"/>
  <c r="DU494" i="2"/>
  <c r="AY495" i="2"/>
  <c r="AV495" i="2"/>
  <c r="BC495" i="2"/>
  <c r="BD495" i="2"/>
  <c r="BW494" i="2"/>
  <c r="CR494" i="2"/>
  <c r="CS494" i="2" s="1"/>
  <c r="CT494" i="2" s="1"/>
  <c r="DW494" i="2" l="1"/>
  <c r="DX494" i="2" s="1"/>
  <c r="CV494" i="2"/>
  <c r="CZ494" i="2"/>
  <c r="EA494" i="2"/>
  <c r="CW494" i="2"/>
  <c r="DA494" i="2"/>
  <c r="EB494" i="2"/>
  <c r="D495" i="2"/>
  <c r="BX494" i="2"/>
  <c r="B495" i="2" l="1"/>
  <c r="BY494" i="2"/>
  <c r="DY494" i="2"/>
  <c r="DZ494" i="2" s="1"/>
  <c r="G495" i="2"/>
  <c r="AU495" i="2" s="1"/>
  <c r="CX494" i="2" l="1"/>
  <c r="DC494" i="2" s="1"/>
  <c r="DB494" i="2"/>
  <c r="AH495" i="2"/>
  <c r="AE495" i="2"/>
  <c r="AL495" i="2"/>
  <c r="AM495" i="2"/>
  <c r="AW495" i="2"/>
  <c r="AX495" i="2" s="1"/>
  <c r="AZ495" i="2" s="1"/>
  <c r="AD495" i="2"/>
  <c r="BE496" i="2" l="1"/>
  <c r="BA495" i="2"/>
  <c r="AT495" i="2" s="1"/>
  <c r="BB495" i="2" s="1"/>
  <c r="F496" i="2" s="1"/>
  <c r="DF494" i="2"/>
  <c r="DD494" i="2"/>
  <c r="DE494" i="2"/>
  <c r="AF495" i="2"/>
  <c r="AG495" i="2" s="1"/>
  <c r="AI495" i="2" s="1"/>
  <c r="AJ495" i="2" l="1"/>
  <c r="AC495" i="2" s="1"/>
  <c r="AK495" i="2" s="1"/>
  <c r="C496" i="2" s="1"/>
  <c r="AP495" i="2"/>
  <c r="AQ495" i="2" s="1"/>
  <c r="AR495" i="2" s="1"/>
  <c r="DG494" i="2"/>
  <c r="BF495" i="2"/>
  <c r="BG495" i="2" s="1"/>
  <c r="BH495" i="2" s="1"/>
  <c r="BI495" i="2" s="1"/>
  <c r="CC495" i="2" l="1"/>
  <c r="CG495" i="2"/>
  <c r="BM495" i="2"/>
  <c r="BQ495" i="2"/>
  <c r="DH494" i="2"/>
  <c r="EC494" i="2"/>
  <c r="ED494" i="2" s="1"/>
  <c r="EE494" i="2" l="1"/>
  <c r="I495" i="2"/>
  <c r="DI494" i="2"/>
  <c r="DJ494" i="2" s="1"/>
  <c r="Q495" i="2" l="1"/>
  <c r="U495" i="2"/>
  <c r="V495" i="2"/>
  <c r="L495" i="2"/>
  <c r="F626" i="2"/>
  <c r="CB495" i="2"/>
  <c r="BL495" i="2"/>
  <c r="CF495" i="2"/>
  <c r="BP495" i="2"/>
  <c r="CP495" i="2"/>
  <c r="M495" i="2" l="1"/>
  <c r="N495" i="2"/>
  <c r="O495" i="2" l="1"/>
  <c r="P495" i="2" s="1"/>
  <c r="R495" i="2" s="1"/>
  <c r="S495" i="2" l="1"/>
  <c r="K495" i="2" s="1"/>
  <c r="T495" i="2" s="1"/>
  <c r="W495" i="2"/>
  <c r="X495" i="2" s="1"/>
  <c r="Y495" i="2" s="1"/>
  <c r="Z495" i="2" s="1"/>
  <c r="CQ495" i="2" l="1"/>
  <c r="AA495" i="2"/>
  <c r="BO495" i="2" l="1"/>
  <c r="CA495" i="2"/>
  <c r="BK495" i="2"/>
  <c r="BR495" i="2" s="1"/>
  <c r="CE495" i="2"/>
  <c r="CU495" i="2" l="1"/>
  <c r="BJ496" i="2"/>
  <c r="BU495" i="2"/>
  <c r="BS495" i="2"/>
  <c r="BT495" i="2"/>
  <c r="CH495" i="2"/>
  <c r="BV495" i="2" l="1"/>
  <c r="BW495" i="2" s="1"/>
  <c r="DK495" i="2"/>
  <c r="BZ496" i="2"/>
  <c r="CK495" i="2"/>
  <c r="CR495" i="2" s="1"/>
  <c r="CS495" i="2" s="1"/>
  <c r="CT495" i="2" s="1"/>
  <c r="CI495" i="2"/>
  <c r="CJ495" i="2"/>
  <c r="BN496" i="2"/>
  <c r="CY495" i="2"/>
  <c r="CV495" i="2" l="1"/>
  <c r="CZ495" i="2"/>
  <c r="CW495" i="2"/>
  <c r="EA495" i="2"/>
  <c r="DA495" i="2"/>
  <c r="EB495" i="2"/>
  <c r="CD496" i="2"/>
  <c r="DO495" i="2"/>
  <c r="DN495" i="2"/>
  <c r="DL495" i="2"/>
  <c r="DM495" i="2"/>
  <c r="CL495" i="2"/>
  <c r="CM495" i="2" s="1"/>
  <c r="BX495" i="2"/>
  <c r="D496" i="2"/>
  <c r="DR495" i="2" l="1"/>
  <c r="DP495" i="2"/>
  <c r="DS495" i="2" s="1"/>
  <c r="DQ495" i="2"/>
  <c r="B496" i="2"/>
  <c r="BY495" i="2"/>
  <c r="CN495" i="2"/>
  <c r="DV495" i="2" l="1"/>
  <c r="DU495" i="2"/>
  <c r="DT495" i="2"/>
  <c r="AE496" i="2"/>
  <c r="AH496" i="2"/>
  <c r="AL496" i="2"/>
  <c r="AM496" i="2"/>
  <c r="AD496" i="2"/>
  <c r="E496" i="2"/>
  <c r="CO495" i="2"/>
  <c r="CX495" i="2"/>
  <c r="DC495" i="2" s="1"/>
  <c r="DB495" i="2"/>
  <c r="DW495" i="2" l="1"/>
  <c r="DX495" i="2" s="1"/>
  <c r="AV496" i="2"/>
  <c r="AY496" i="2"/>
  <c r="BC496" i="2"/>
  <c r="BD496" i="2"/>
  <c r="DF495" i="2"/>
  <c r="DD495" i="2"/>
  <c r="DE495" i="2"/>
  <c r="AF496" i="2"/>
  <c r="AG496" i="2" s="1"/>
  <c r="AI496" i="2" s="1"/>
  <c r="AJ496" i="2" l="1"/>
  <c r="AC496" i="2" s="1"/>
  <c r="AK496" i="2" s="1"/>
  <c r="C497" i="2" s="1"/>
  <c r="AP496" i="2"/>
  <c r="AQ496" i="2" s="1"/>
  <c r="AR496" i="2" s="1"/>
  <c r="DG495" i="2"/>
  <c r="DY495" i="2"/>
  <c r="DZ495" i="2" s="1"/>
  <c r="G496" i="2"/>
  <c r="AU496" i="2" s="1"/>
  <c r="AW496" i="2" l="1"/>
  <c r="AX496" i="2" s="1"/>
  <c r="AZ496" i="2" s="1"/>
  <c r="DH495" i="2"/>
  <c r="EC495" i="2"/>
  <c r="ED495" i="2" s="1"/>
  <c r="BM496" i="2"/>
  <c r="BQ496" i="2"/>
  <c r="BE497" i="2" l="1"/>
  <c r="BA496" i="2"/>
  <c r="AT496" i="2" s="1"/>
  <c r="BB496" i="2" s="1"/>
  <c r="F497" i="2" s="1"/>
  <c r="DI495" i="2"/>
  <c r="DJ495" i="2" s="1"/>
  <c r="I496" i="2"/>
  <c r="EE495" i="2"/>
  <c r="V496" i="2" l="1"/>
  <c r="L496" i="2"/>
  <c r="Q496" i="2"/>
  <c r="U496" i="2"/>
  <c r="F627" i="2"/>
  <c r="CB496" i="2"/>
  <c r="BL496" i="2"/>
  <c r="CF496" i="2"/>
  <c r="CP496" i="2"/>
  <c r="BP496" i="2"/>
  <c r="BF497" i="2"/>
  <c r="BF496" i="2"/>
  <c r="BG496" i="2" s="1"/>
  <c r="BH496" i="2" s="1"/>
  <c r="BI496" i="2" s="1"/>
  <c r="CC496" i="2" l="1"/>
  <c r="CG496" i="2"/>
  <c r="N496" i="2"/>
  <c r="M496" i="2"/>
  <c r="O496" i="2" l="1"/>
  <c r="P496" i="2" s="1"/>
  <c r="R496" i="2" s="1"/>
  <c r="S496" i="2" l="1"/>
  <c r="K496" i="2" s="1"/>
  <c r="T496" i="2" s="1"/>
  <c r="W496" i="2"/>
  <c r="X496" i="2" s="1"/>
  <c r="Y496" i="2"/>
  <c r="Z496" i="2" s="1"/>
  <c r="AA496" i="2" l="1"/>
  <c r="CQ496" i="2"/>
  <c r="CA496" i="2" l="1"/>
  <c r="BK496" i="2"/>
  <c r="CE496" i="2"/>
  <c r="BO496" i="2"/>
  <c r="BR496" i="2" l="1"/>
  <c r="CH496" i="2"/>
  <c r="BZ497" i="2" l="1"/>
  <c r="DK496" i="2"/>
  <c r="CJ496" i="2"/>
  <c r="CI496" i="2"/>
  <c r="CK496" i="2"/>
  <c r="BJ497" i="2"/>
  <c r="CU496" i="2"/>
  <c r="BU496" i="2"/>
  <c r="BT496" i="2"/>
  <c r="BS496" i="2"/>
  <c r="CL496" i="2" l="1"/>
  <c r="CM496" i="2" s="1"/>
  <c r="BV496" i="2"/>
  <c r="BW496" i="2" s="1"/>
  <c r="CY496" i="2"/>
  <c r="BN497" i="2"/>
  <c r="DO496" i="2"/>
  <c r="DL496" i="2"/>
  <c r="DM496" i="2"/>
  <c r="DN496" i="2"/>
  <c r="CR496" i="2"/>
  <c r="CS496" i="2" s="1"/>
  <c r="CT496" i="2" s="1"/>
  <c r="CD497" i="2"/>
  <c r="DP496" i="2" l="1"/>
  <c r="DS496" i="2" s="1"/>
  <c r="DQ496" i="2"/>
  <c r="DR496" i="2"/>
  <c r="BX496" i="2"/>
  <c r="D497" i="2"/>
  <c r="CV496" i="2"/>
  <c r="CZ496" i="2"/>
  <c r="DA496" i="2"/>
  <c r="CW496" i="2"/>
  <c r="EA496" i="2"/>
  <c r="EB496" i="2"/>
  <c r="CN496" i="2"/>
  <c r="DU496" i="2" l="1"/>
  <c r="DT496" i="2"/>
  <c r="DV496" i="2"/>
  <c r="E497" i="2"/>
  <c r="CO496" i="2"/>
  <c r="AD497" i="2"/>
  <c r="B497" i="2"/>
  <c r="BY496" i="2"/>
  <c r="CX496" i="2" l="1"/>
  <c r="DB496" i="2"/>
  <c r="AY497" i="2"/>
  <c r="AV497" i="2"/>
  <c r="BC497" i="2"/>
  <c r="BD497" i="2"/>
  <c r="AF497" i="2"/>
  <c r="AG497" i="2" s="1"/>
  <c r="AI497" i="2" s="1"/>
  <c r="AH497" i="2"/>
  <c r="AE497" i="2"/>
  <c r="AL497" i="2"/>
  <c r="AM497" i="2"/>
  <c r="DW496" i="2"/>
  <c r="DX496" i="2" s="1"/>
  <c r="AJ497" i="2" l="1"/>
  <c r="AC497" i="2" s="1"/>
  <c r="AK497" i="2" s="1"/>
  <c r="C498" i="2" s="1"/>
  <c r="AP497" i="2"/>
  <c r="AQ497" i="2" s="1"/>
  <c r="AR497" i="2" s="1"/>
  <c r="DY496" i="2"/>
  <c r="DZ496" i="2" s="1"/>
  <c r="G497" i="2"/>
  <c r="AU497" i="2" s="1"/>
  <c r="DC496" i="2"/>
  <c r="AW497" i="2" l="1"/>
  <c r="AX497" i="2" s="1"/>
  <c r="AZ497" i="2" s="1"/>
  <c r="DF496" i="2"/>
  <c r="DD496" i="2"/>
  <c r="DE496" i="2"/>
  <c r="BM497" i="2"/>
  <c r="BQ497" i="2"/>
  <c r="BA497" i="2" l="1"/>
  <c r="AT497" i="2" s="1"/>
  <c r="BB497" i="2" s="1"/>
  <c r="F498" i="2" s="1"/>
  <c r="BG497" i="2"/>
  <c r="BH497" i="2" s="1"/>
  <c r="BI497" i="2" s="1"/>
  <c r="DG496" i="2"/>
  <c r="DH496" i="2" l="1"/>
  <c r="EC496" i="2"/>
  <c r="ED496" i="2" s="1"/>
  <c r="CC497" i="2"/>
  <c r="CG497" i="2"/>
  <c r="I497" i="2" l="1"/>
  <c r="EE496" i="2"/>
  <c r="DI496" i="2"/>
  <c r="DJ496" i="2" s="1"/>
  <c r="L497" i="2" l="1"/>
  <c r="Q497" i="2"/>
  <c r="U497" i="2"/>
  <c r="V497" i="2"/>
  <c r="F628" i="2"/>
  <c r="BL497" i="2"/>
  <c r="CF497" i="2"/>
  <c r="CP497" i="2"/>
  <c r="BP497" i="2"/>
  <c r="CB497" i="2"/>
  <c r="M497" i="2" l="1"/>
  <c r="N497" i="2"/>
  <c r="O497" i="2" l="1"/>
  <c r="P497" i="2" s="1"/>
  <c r="R497" i="2" s="1"/>
  <c r="S497" i="2" l="1"/>
  <c r="K497" i="2" s="1"/>
  <c r="T497" i="2" s="1"/>
  <c r="W497" i="2"/>
  <c r="X497" i="2" s="1"/>
  <c r="Y497" i="2" s="1"/>
  <c r="Z497" i="2" s="1"/>
  <c r="AA497" i="2" l="1"/>
  <c r="CQ497" i="2"/>
  <c r="CA497" i="2" l="1"/>
  <c r="BK497" i="2"/>
  <c r="BR497" i="2" s="1"/>
  <c r="CE497" i="2"/>
  <c r="BO497" i="2"/>
  <c r="CU497" i="2" l="1"/>
  <c r="BU497" i="2"/>
  <c r="BS497" i="2"/>
  <c r="BT497" i="2"/>
  <c r="CH497" i="2"/>
  <c r="BV497" i="2" l="1"/>
  <c r="BW497" i="2" s="1"/>
  <c r="DK497" i="2"/>
  <c r="CK497" i="2"/>
  <c r="CR497" i="2" s="1"/>
  <c r="CS497" i="2" s="1"/>
  <c r="CT497" i="2" s="1"/>
  <c r="CJ497" i="2"/>
  <c r="CI497" i="2"/>
  <c r="CY497" i="2"/>
  <c r="CV497" i="2" l="1"/>
  <c r="CZ497" i="2"/>
  <c r="CW497" i="2"/>
  <c r="DA497" i="2"/>
  <c r="EA497" i="2"/>
  <c r="EB497" i="2"/>
  <c r="DO497" i="2"/>
  <c r="DN497" i="2"/>
  <c r="DL497" i="2"/>
  <c r="DM497" i="2"/>
  <c r="CL497" i="2"/>
  <c r="CM497" i="2" s="1"/>
  <c r="D498" i="2"/>
  <c r="BX497" i="2"/>
  <c r="CN497" i="2" l="1"/>
  <c r="DR497" i="2"/>
  <c r="DQ497" i="2"/>
  <c r="DP497" i="2"/>
  <c r="DS497" i="2" s="1"/>
  <c r="B498" i="2"/>
  <c r="AD498" i="2" s="1"/>
  <c r="BY497" i="2"/>
  <c r="DV497" i="2" l="1"/>
  <c r="DT497" i="2"/>
  <c r="DU497" i="2"/>
  <c r="AF498" i="2"/>
  <c r="AG498" i="2" s="1"/>
  <c r="E498" i="2"/>
  <c r="CO497" i="2"/>
  <c r="CX497" i="2"/>
  <c r="DC497" i="2" s="1"/>
  <c r="DB497" i="2"/>
  <c r="AE498" i="2"/>
  <c r="AH498" i="2"/>
  <c r="AI498" i="2" s="1"/>
  <c r="AJ498" i="2" s="1"/>
  <c r="AC498" i="2" s="1"/>
  <c r="AK498" i="2" s="1"/>
  <c r="C499" i="2" s="1"/>
  <c r="C505" i="2" s="1"/>
  <c r="AM498" i="2"/>
  <c r="AQ498" i="2" s="1"/>
  <c r="AR498" i="2" s="1"/>
  <c r="BU498" i="2" s="1"/>
  <c r="BV498" i="2" s="1"/>
  <c r="BW498" i="2" s="1"/>
  <c r="AL498" i="2"/>
  <c r="F505" i="2" l="1"/>
  <c r="B29" i="3"/>
  <c r="D29" i="3" s="1"/>
  <c r="D499" i="2"/>
  <c r="BX498" i="2"/>
  <c r="AY498" i="2"/>
  <c r="AV498" i="2"/>
  <c r="BC498" i="2"/>
  <c r="BD498" i="2"/>
  <c r="BH498" i="2" s="1"/>
  <c r="BI498" i="2" s="1"/>
  <c r="CK498" i="2" s="1"/>
  <c r="CL498" i="2" s="1"/>
  <c r="CM498" i="2" s="1"/>
  <c r="CN498" i="2" s="1"/>
  <c r="E499" i="2" s="1"/>
  <c r="E500" i="2" s="1"/>
  <c r="D629" i="2" s="1"/>
  <c r="DW497" i="2"/>
  <c r="DX497" i="2" s="1"/>
  <c r="DF497" i="2"/>
  <c r="DE497" i="2"/>
  <c r="DE499" i="2" s="1"/>
  <c r="DD497" i="2"/>
  <c r="DG497" i="2" l="1"/>
  <c r="DY497" i="2"/>
  <c r="DZ497" i="2" s="1"/>
  <c r="G498" i="2"/>
  <c r="AU498" i="2" s="1"/>
  <c r="DX498" i="2"/>
  <c r="CO498" i="2"/>
  <c r="B604" i="2"/>
  <c r="D604" i="2"/>
  <c r="B603" i="2"/>
  <c r="D605" i="2"/>
  <c r="B602" i="2"/>
  <c r="B601" i="2"/>
  <c r="B600" i="2"/>
  <c r="C599" i="2"/>
  <c r="B599" i="2"/>
  <c r="C600" i="2"/>
  <c r="C601" i="2"/>
  <c r="C602" i="2"/>
  <c r="C603" i="2"/>
  <c r="C604" i="2"/>
  <c r="E604" i="2"/>
  <c r="E605" i="2"/>
  <c r="D606" i="2"/>
  <c r="E606" i="2"/>
  <c r="E607" i="2"/>
  <c r="D607" i="2"/>
  <c r="D608" i="2"/>
  <c r="E608" i="2"/>
  <c r="E609" i="2"/>
  <c r="D609" i="2"/>
  <c r="D610" i="2"/>
  <c r="E610" i="2"/>
  <c r="E611" i="2"/>
  <c r="D611" i="2"/>
  <c r="D612" i="2"/>
  <c r="E612" i="2"/>
  <c r="E613" i="2"/>
  <c r="D613" i="2"/>
  <c r="D614" i="2"/>
  <c r="E614" i="2"/>
  <c r="E615" i="2"/>
  <c r="D615" i="2"/>
  <c r="E616" i="2"/>
  <c r="D616" i="2"/>
  <c r="D617" i="2"/>
  <c r="E617" i="2"/>
  <c r="D618" i="2"/>
  <c r="E618" i="2"/>
  <c r="E619" i="2"/>
  <c r="D619" i="2"/>
  <c r="D620" i="2"/>
  <c r="E620" i="2"/>
  <c r="E621" i="2"/>
  <c r="D621" i="2"/>
  <c r="D622" i="2"/>
  <c r="E622" i="2"/>
  <c r="E623" i="2"/>
  <c r="D623" i="2"/>
  <c r="E624" i="2"/>
  <c r="D624" i="2"/>
  <c r="D625" i="2"/>
  <c r="E625" i="2"/>
  <c r="D626" i="2"/>
  <c r="E626" i="2"/>
  <c r="E627" i="2"/>
  <c r="D627" i="2"/>
  <c r="D628" i="2"/>
  <c r="E628" i="2"/>
  <c r="E629" i="2"/>
  <c r="B499" i="2"/>
  <c r="BY498" i="2"/>
  <c r="AW498" i="2" l="1"/>
  <c r="AX498" i="2" s="1"/>
  <c r="AZ498" i="2" s="1"/>
  <c r="BA498" i="2" s="1"/>
  <c r="AT498" i="2" s="1"/>
  <c r="BB498" i="2" s="1"/>
  <c r="F499" i="2" s="1"/>
  <c r="C503" i="2"/>
  <c r="B27" i="3" s="1"/>
  <c r="B28" i="3" s="1"/>
  <c r="C504" i="2"/>
  <c r="B561" i="2"/>
  <c r="B562" i="2" s="1"/>
  <c r="G499" i="2"/>
  <c r="DY498" i="2"/>
  <c r="DZ498" i="2" s="1"/>
  <c r="DH497" i="2"/>
  <c r="C523" i="2"/>
  <c r="B557" i="2" s="1"/>
  <c r="EC497" i="2"/>
  <c r="ED497" i="2" s="1"/>
  <c r="EE497" i="2" l="1"/>
  <c r="I498" i="2"/>
  <c r="G500" i="2"/>
  <c r="B541" i="2"/>
  <c r="DI497" i="2"/>
  <c r="DJ497" i="2" s="1"/>
  <c r="DH498" i="2"/>
  <c r="DI498" i="2" s="1"/>
  <c r="L498" i="2" l="1"/>
  <c r="Q498" i="2"/>
  <c r="U498" i="2"/>
  <c r="I499" i="2"/>
  <c r="V498" i="2"/>
  <c r="Z498" i="2" s="1"/>
  <c r="EE498" i="2"/>
  <c r="F629" i="2"/>
  <c r="DJ498" i="2"/>
  <c r="AA498" i="2" l="1"/>
  <c r="CQ498" i="2"/>
  <c r="CR498" i="2" s="1"/>
  <c r="CS498" i="2" s="1"/>
  <c r="CT498" i="2" s="1"/>
  <c r="EA498" i="2" s="1"/>
  <c r="C508" i="2"/>
  <c r="C507" i="2"/>
  <c r="B21" i="3" s="1"/>
  <c r="M498" i="2"/>
  <c r="N498" i="2"/>
  <c r="B535" i="2" l="1"/>
  <c r="B22" i="3"/>
  <c r="O498" i="2"/>
  <c r="P498" i="2" s="1"/>
  <c r="R498" i="2" s="1"/>
  <c r="S498" i="2" s="1"/>
  <c r="EB498" i="2"/>
  <c r="C513" i="2" s="1"/>
  <c r="T498" i="2" l="1"/>
  <c r="C506" i="2" s="1"/>
  <c r="F506" i="2" s="1"/>
  <c r="B540" i="2"/>
  <c r="B558" i="2"/>
  <c r="C517" i="2"/>
  <c r="C519" i="2" l="1"/>
  <c r="B25" i="3" s="1"/>
  <c r="B26" i="3" s="1"/>
  <c r="E517" i="2"/>
  <c r="B560" i="2"/>
  <c r="B563" i="2" s="1"/>
  <c r="B30" i="3" s="1"/>
  <c r="C518" i="2"/>
  <c r="B24" i="3" s="1"/>
  <c r="B23" i="3"/>
  <c r="B15" i="3"/>
  <c r="B16" i="3"/>
</calcChain>
</file>

<file path=xl/sharedStrings.xml><?xml version="1.0" encoding="utf-8"?>
<sst xmlns="http://schemas.openxmlformats.org/spreadsheetml/2006/main" count="2889" uniqueCount="575">
  <si>
    <t>DATA INPUT SECTION</t>
  </si>
  <si>
    <t>BOILER DESIGN</t>
  </si>
  <si>
    <t>SPEEDY AS DESIGNED BY LBSC</t>
  </si>
  <si>
    <t>OTHER DETAILS</t>
  </si>
  <si>
    <t>COMBUSTION DETAILS</t>
  </si>
  <si>
    <t>DESIGN GRATE LOADING</t>
  </si>
  <si>
    <t>kg/m2/s</t>
  </si>
  <si>
    <t>100 lbs./ft2/hr is equivalent to 0.13736 kg/m2/S. 0.05494 recommended for model / miniature use.  See Section 11.1 in “Development of Loco Boiler”</t>
  </si>
  <si>
    <t>STOCHOIMETRIC RATIO</t>
  </si>
  <si>
    <t>Air/coal mass</t>
  </si>
  <si>
    <t>Based on fuel burnt, not fuel lost without combustion.  See Section 11.3 in “Development of Loco Boiler”</t>
  </si>
  <si>
    <t>Minimum for theoretically perfect combustion = approx. 11.25 depending on coal.</t>
  </si>
  <si>
    <t>AIR TEMPERATURE</t>
  </si>
  <si>
    <t>Deg. C</t>
  </si>
  <si>
    <t>Ambient temperature unless air pre-heaters fitted.</t>
  </si>
  <si>
    <t>% Models</t>
  </si>
  <si>
    <t>% Full size</t>
  </si>
  <si>
    <t>UNBURNT FUEL LOST</t>
  </si>
  <si>
    <t>%</t>
  </si>
  <si>
    <t>Fuel lost to ashpan, smokebox and chimney before combustion.  See Section 11.2 in “Development of Loco Boiler”</t>
  </si>
  <si>
    <t>FUEL BURNT ON GRATE</t>
  </si>
  <si>
    <t>Remaining fuel burnt within firebox volume as volatile matter and suspended carbon particles</t>
  </si>
  <si>
    <t>COMBUSTION EFFICIENCY</t>
  </si>
  <si>
    <t>Controls amount of CO present in flue gas.</t>
  </si>
  <si>
    <t>FIREBED EMISSIVITY</t>
  </si>
  <si>
    <t>MEAN SPECIFIC HEAT FURNACE GAS</t>
  </si>
  <si>
    <t>kJ/kg k</t>
  </si>
  <si>
    <t>Assumes constant specific heat of 1.11 kj/kg k for furnace gases, based on dry air at low press.</t>
  </si>
  <si>
    <t>ABSORBTION COEFF. OF FLUE GAS</t>
  </si>
  <si>
    <t>per metre</t>
  </si>
  <si>
    <t>Value derived from correlation with tests.</t>
  </si>
  <si>
    <t>NUSSELT UPLIFT FACTOR</t>
  </si>
  <si>
    <t>Multiplier required to give correlation with tests.  Suggested value 1.6</t>
  </si>
  <si>
    <t>FUEL DETAILS</t>
  </si>
  <si>
    <t>CARBON CONTENT</t>
  </si>
  <si>
    <t>See data sheet &amp; guidance.</t>
  </si>
  <si>
    <t>HYDROGEN</t>
  </si>
  <si>
    <t>SULPHUR</t>
  </si>
  <si>
    <t>WATER</t>
  </si>
  <si>
    <t>ASH CONTENT</t>
  </si>
  <si>
    <t>OXYGEN</t>
  </si>
  <si>
    <t>NITROGEN</t>
  </si>
  <si>
    <t>BOILER OPERATING PARAMETERS</t>
  </si>
  <si>
    <t>WORKING PRESSURE</t>
  </si>
  <si>
    <t>Bar gauge</t>
  </si>
  <si>
    <t>Safety valve set pressure.</t>
  </si>
  <si>
    <t>FEED WATER TEMP.</t>
  </si>
  <si>
    <t>Deg.C</t>
  </si>
  <si>
    <t>Usually below ambient temperature unless feed water heater or exhaust injector fitted.</t>
  </si>
  <si>
    <t>DRYNESS FRACTION OF STEAM</t>
  </si>
  <si>
    <t>Dryness fraction of steam leaving boiler.  Will be affected by efficiency of steam collector / dome.  Use 99.9% for design purposes.</t>
  </si>
  <si>
    <t>PRESSURE REQUIRED AT ENGINE</t>
  </si>
  <si>
    <t>Leaving regulator &amp; before superheaters.</t>
  </si>
  <si>
    <t>BOILER INTERNAL DIMENSIONS</t>
  </si>
  <si>
    <t>See definitions below.</t>
  </si>
  <si>
    <t>GRATE WIDTH</t>
  </si>
  <si>
    <t>mm</t>
  </si>
  <si>
    <t>GRATE LENGTH</t>
  </si>
  <si>
    <t>FIREBOX WALL AREA</t>
  </si>
  <si>
    <t>m2</t>
  </si>
  <si>
    <t>LENGTH TUBEPLATE - TUBEPLATE</t>
  </si>
  <si>
    <t>m</t>
  </si>
  <si>
    <t>Note: All flues (fire and superheater) assumed to be same length</t>
  </si>
  <si>
    <t>FIRETUBE INTERNAL DIA.</t>
  </si>
  <si>
    <t>NUMBER OF FIRETUBES</t>
  </si>
  <si>
    <t>S/HEATER FLUE INTERNAL DIA</t>
  </si>
  <si>
    <t>NUMBER OF S/HEATER FLUES</t>
  </si>
  <si>
    <t>Set to zero if no superheaters fitted.</t>
  </si>
  <si>
    <t>No. OF SPEARHEADS PER FLUE</t>
  </si>
  <si>
    <t>Superheaters all assumed in parallel.  1 spearhead means two tubes within superheater flue.</t>
  </si>
  <si>
    <t>OUTSIDE DIA. OF S/H ELEMENT</t>
  </si>
  <si>
    <t>INSIDE DIA. OF S/H ELEMENT</t>
  </si>
  <si>
    <t>LENGTH OF RADIANT S/H SECTION</t>
  </si>
  <si>
    <t>Set to zero if no radiant section fitted.</t>
  </si>
  <si>
    <t>FIRE SIDE SURFACE ROUGHNESS</t>
  </si>
  <si>
    <t>Drawn pipe with moderate rust = 0.5 mm</t>
  </si>
  <si>
    <t>STEAM SIDE SURFACE ROUGHNESS</t>
  </si>
  <si>
    <t>Drawn pipe in new condition = 0.025 mm</t>
  </si>
  <si>
    <t>BOILER EXTERNAL DIMENSIONS</t>
  </si>
  <si>
    <t>BOILER OVERALL LENGTH</t>
  </si>
  <si>
    <t>BOILER SHELL DIAMETER</t>
  </si>
  <si>
    <t>INSULATION THICKNESS</t>
  </si>
  <si>
    <t>INSULATION EFFICIENCY</t>
  </si>
  <si>
    <t>Watts/m/Deg. C</t>
  </si>
  <si>
    <t>Based on Kaowool in thickness 3 - 50 mm, low grade, up to 260 C. Ref. http://www.barteltinsulation.com/pdfs/CERAMICBLANKET.pdf</t>
  </si>
  <si>
    <t>Diagram based on Brittania model boiler, including combustion chamber &amp; siphons</t>
  </si>
  <si>
    <t>CALCULATION OF BOILER PERFORMANCE</t>
  </si>
  <si>
    <t>DO NOT ALTER THIS SHEET UNLESS YOU KNOW WHAT YOU ARE DOING!</t>
  </si>
  <si>
    <t>CALCULATION OF STEAM PROPERTIES FOR USE IN LATER CALCULATIONS</t>
  </si>
  <si>
    <t>FEED WATER ENTHALPY</t>
  </si>
  <si>
    <t>KJ/KG</t>
  </si>
  <si>
    <t>Assumes constant Cp for water, correct at 8 Bar Abs. pressure.</t>
  </si>
  <si>
    <t>BOILER WATER TEMPERATURE</t>
  </si>
  <si>
    <t>Uses curve fit to steam table data, valid from 1 to 15 Bar.</t>
  </si>
  <si>
    <t>BOILER WATER ENTHALPY</t>
  </si>
  <si>
    <t>Assumes constant Cp for water, correct at 8 Bar pressure.</t>
  </si>
  <si>
    <t>ENTHALPY OF SATURATED STEAM</t>
  </si>
  <si>
    <t>Uses curve fit to steam table data, valid from 1 to 15 Bar Abs.</t>
  </si>
  <si>
    <t>FOR DRYNESS FRACTION OF</t>
  </si>
  <si>
    <t>As entered above.</t>
  </si>
  <si>
    <t>ENTHALPY OF WET STEAM</t>
  </si>
  <si>
    <t>CALCULATION OF FIRE BED PERFORMANCE</t>
  </si>
  <si>
    <t>FUEL GROSS CALORIFIC VALUE</t>
  </si>
  <si>
    <t>KJ/Kg</t>
  </si>
  <si>
    <t>BThU/Lb</t>
  </si>
  <si>
    <t>TOTAL FUEL FLOW</t>
  </si>
  <si>
    <t>Kg/S</t>
  </si>
  <si>
    <t>FUEL LOST WITHOUT BURNING</t>
  </si>
  <si>
    <t>Lost to chimney, smokebox &amp; ashpan</t>
  </si>
  <si>
    <t>NET FUEL FLOW</t>
  </si>
  <si>
    <t>COMPRISING:</t>
  </si>
  <si>
    <t>CARBON FULLY BURNT</t>
  </si>
  <si>
    <t>Producing Carbon Dioxide</t>
  </si>
  <si>
    <t>CARBON PARTIALLY BURNT</t>
  </si>
  <si>
    <t>Producing Carbon Monoxide.</t>
  </si>
  <si>
    <t>Rejected to Ashpan</t>
  </si>
  <si>
    <t>TOTAL AIR FLOW</t>
  </si>
  <si>
    <t>CARBON DIOXIDE</t>
  </si>
  <si>
    <t>NITROGEN &amp; INERT GASES</t>
  </si>
  <si>
    <t>PRODUCTS OF COMBUSTION</t>
  </si>
  <si>
    <t>Mass Flow Rate</t>
  </si>
  <si>
    <t>Mass Flow</t>
  </si>
  <si>
    <t>Vol. Flow @ NTP</t>
  </si>
  <si>
    <t>Vol Flow</t>
  </si>
  <si>
    <t>OXYGEN DEMAND</t>
  </si>
  <si>
    <t>HEAT LIBERATED</t>
  </si>
  <si>
    <t>m3/s</t>
  </si>
  <si>
    <t>kJ/S</t>
  </si>
  <si>
    <t>CARBON MONOXIDE</t>
  </si>
  <si>
    <t>WATER FROM HYDROGEN</t>
  </si>
  <si>
    <t>SULPHUR DIOXIDE</t>
  </si>
  <si>
    <t>FREE OXYGEN</t>
  </si>
  <si>
    <t>WATER CONTENT FROM COAL MOISTURE</t>
  </si>
  <si>
    <t>TOTALS</t>
  </si>
  <si>
    <t>PERFECT STOCHIOMETRIC RATIO</t>
  </si>
  <si>
    <t>ACTUAL AIR RATIO</t>
  </si>
  <si>
    <t>TOTAL GAS FLOW</t>
  </si>
  <si>
    <t>TOTAL HEAT IN COAL</t>
  </si>
  <si>
    <t>KWatts</t>
  </si>
  <si>
    <t>FIRE HEAT OUTPUT</t>
  </si>
  <si>
    <t>LATENT HEAT OF FLUE GAS MOISTURE</t>
  </si>
  <si>
    <t>Net of water vapour latent heat</t>
  </si>
  <si>
    <t>FURNACE TEMP</t>
  </si>
  <si>
    <t>Assuming no radiated heat lost from fire bed.</t>
  </si>
  <si>
    <t>Deg. F</t>
  </si>
  <si>
    <t>CALCULATION OF HEAT TRANSFER BY RADIATION IN FIREBOX</t>
  </si>
  <si>
    <t>TOTAL HEAT OUTPUT</t>
  </si>
  <si>
    <t>HEAT PRODUCED IN FIREBED</t>
  </si>
  <si>
    <t>Kwatts</t>
  </si>
  <si>
    <t>Produced in fire on firebars.</t>
  </si>
  <si>
    <t>HEAT PRODUCED ABOVE FIREBED</t>
  </si>
  <si>
    <t>Produced in firebox volume.</t>
  </si>
  <si>
    <t>GAS FLOW THROUGH FIRE</t>
  </si>
  <si>
    <t>kg/s</t>
  </si>
  <si>
    <t xml:space="preserve">FIREBED AREA </t>
  </si>
  <si>
    <t>ITERATION TO FIND FIREBED TEMPERATURE GIVING FIREBED TEMP = GAS TEMP</t>
  </si>
  <si>
    <t>INITIAL TEMPERATURE ASSUMPTION Deg. K</t>
  </si>
  <si>
    <t>FLUE GAS TEMPERATURE Deg. Abs. K</t>
  </si>
  <si>
    <t>RADIANT HEAT EMITTED KW</t>
  </si>
  <si>
    <t>HEAT IN GAS FLOW</t>
  </si>
  <si>
    <t>FIRE BED TEMPERATURE</t>
  </si>
  <si>
    <t>Accounting for radiation.</t>
  </si>
  <si>
    <t>ASSUMPTION OF FLAME RADIATION, HEAT TRANSFER SPLIT INTO 25 STAGES</t>
  </si>
  <si>
    <t>CALCULATION IN FLOW WISE DIRECTION</t>
  </si>
  <si>
    <t>EQIVALENT FIREBOX DIAMETER</t>
  </si>
  <si>
    <t>FIREBOX SHAPE APPROXIMATED TO VERTICAL CYLINDER - OF EQUIVALENT WALL AREA AND FIRE AREA</t>
  </si>
  <si>
    <t>EQUIVALENT FIREBOX HEIGHT</t>
  </si>
  <si>
    <t>FIREBOX WALL TEMPERATURE</t>
  </si>
  <si>
    <t>Deg. Abs.</t>
  </si>
  <si>
    <t>BEAM LENGTH</t>
  </si>
  <si>
    <t>FLUE GASES</t>
  </si>
  <si>
    <t>GROSS HEAT</t>
  </si>
  <si>
    <t>NET HEAT</t>
  </si>
  <si>
    <t>FIRE ENERGY</t>
  </si>
  <si>
    <t>HEAT GAINED</t>
  </si>
  <si>
    <t>CALCULATION OF CONVECTIVE HEAT TRANSFER WITHIN FIREBOX</t>
  </si>
  <si>
    <t>FREE CONVECTION CHECK</t>
  </si>
  <si>
    <t>CONVECTIVE</t>
  </si>
  <si>
    <t>RADIATIVE</t>
  </si>
  <si>
    <t>ABSORBED</t>
  </si>
  <si>
    <t>MEAN</t>
  </si>
  <si>
    <t>AVERAGE</t>
  </si>
  <si>
    <t>SECTION</t>
  </si>
  <si>
    <t>HEIGHT UP</t>
  </si>
  <si>
    <t>MEAN ANGLE TO</t>
  </si>
  <si>
    <t>FIRE TO WALL</t>
  </si>
  <si>
    <t>EMISSIVITY</t>
  </si>
  <si>
    <t>AREA</t>
  </si>
  <si>
    <t>FLUE GAS</t>
  </si>
  <si>
    <t>FIREBED</t>
  </si>
  <si>
    <t>VIEW FACTOR</t>
  </si>
  <si>
    <t>TRANSF. FIRE</t>
  </si>
  <si>
    <t>BLOCKED</t>
  </si>
  <si>
    <t>BY FLAME IN</t>
  </si>
  <si>
    <t>INCREMENTAL</t>
  </si>
  <si>
    <t>RUNNING</t>
  </si>
  <si>
    <t>TEMPERATURE</t>
  </si>
  <si>
    <t>BULK</t>
  </si>
  <si>
    <t>WALL</t>
  </si>
  <si>
    <t>PRESSURE</t>
  </si>
  <si>
    <t>THERMAL</t>
  </si>
  <si>
    <t>DENSITY AT</t>
  </si>
  <si>
    <t>VISCOSITY AT</t>
  </si>
  <si>
    <t>GRASHOF</t>
  </si>
  <si>
    <t>CORRECTION TO</t>
  </si>
  <si>
    <t>HEAT</t>
  </si>
  <si>
    <t>FLAME HEAT</t>
  </si>
  <si>
    <t>COMBUSTION</t>
  </si>
  <si>
    <t>ENERGY IN FLAME</t>
  </si>
  <si>
    <t>TEMP</t>
  </si>
  <si>
    <t>FIREBOX</t>
  </si>
  <si>
    <t>CENTRE OF FIRE</t>
  </si>
  <si>
    <t>(FIRE TO WALL)</t>
  </si>
  <si>
    <t>OF WALL</t>
  </si>
  <si>
    <t>TEMP.</t>
  </si>
  <si>
    <t>TO WALL</t>
  </si>
  <si>
    <t>BY FLAME</t>
  </si>
  <si>
    <t>SECTION 0</t>
  </si>
  <si>
    <t>SECTION 1</t>
  </si>
  <si>
    <t>SECTION 2</t>
  </si>
  <si>
    <t>SECTION 3</t>
  </si>
  <si>
    <t>SECTION 4</t>
  </si>
  <si>
    <t>SECTION 5</t>
  </si>
  <si>
    <t>SECTION 6</t>
  </si>
  <si>
    <t>SECTION 7</t>
  </si>
  <si>
    <t>SECTION 8</t>
  </si>
  <si>
    <t>SECTION 9</t>
  </si>
  <si>
    <t>SECTION 10</t>
  </si>
  <si>
    <t>SECTION 11</t>
  </si>
  <si>
    <t>SECTION 12</t>
  </si>
  <si>
    <t>SECTION 13</t>
  </si>
  <si>
    <t>SECTION 14</t>
  </si>
  <si>
    <t>SECTION 15</t>
  </si>
  <si>
    <t>SECTION 16</t>
  </si>
  <si>
    <t>SECTION 17</t>
  </si>
  <si>
    <t>SECTION 18</t>
  </si>
  <si>
    <t>SECTION 19</t>
  </si>
  <si>
    <t>SECTION 20</t>
  </si>
  <si>
    <t>SECTION 21</t>
  </si>
  <si>
    <t>SECTION 22</t>
  </si>
  <si>
    <t>SECTION 23</t>
  </si>
  <si>
    <t>SECTION 24</t>
  </si>
  <si>
    <t>SECTION 25</t>
  </si>
  <si>
    <t>LENGTH</t>
  </si>
  <si>
    <t>K</t>
  </si>
  <si>
    <t>ADJUSTED</t>
  </si>
  <si>
    <t>FOR PROPERTIES</t>
  </si>
  <si>
    <t>DENSITY</t>
  </si>
  <si>
    <t>VOL FLOW.</t>
  </si>
  <si>
    <t>VELOCITY</t>
  </si>
  <si>
    <t>VISCOSITY</t>
  </si>
  <si>
    <t>REYNOLDS</t>
  </si>
  <si>
    <t>FRICTION</t>
  </si>
  <si>
    <t>LOSS</t>
  </si>
  <si>
    <t>PRANDTL</t>
  </si>
  <si>
    <t>CONDUCTIVITY</t>
  </si>
  <si>
    <t>ENTRY</t>
  </si>
  <si>
    <t>NUSSELT</t>
  </si>
  <si>
    <t>FILM TEMP.</t>
  </si>
  <si>
    <t>FILM TEMP</t>
  </si>
  <si>
    <t>NUMBER</t>
  </si>
  <si>
    <t>Nu LAMINAR</t>
  </si>
  <si>
    <t>TRANSFER COEFF.</t>
  </si>
  <si>
    <t>TRANSFERRED</t>
  </si>
  <si>
    <t>ABOVE FIRE</t>
  </si>
  <si>
    <t>IN ELEMENT</t>
  </si>
  <si>
    <t>Deg.</t>
  </si>
  <si>
    <t>per m2</t>
  </si>
  <si>
    <t>Kw</t>
  </si>
  <si>
    <t>kW</t>
  </si>
  <si>
    <t>KW</t>
  </si>
  <si>
    <t>FACTOR</t>
  </si>
  <si>
    <t>K FACTOR</t>
  </si>
  <si>
    <t>DEG. C</t>
  </si>
  <si>
    <t>KG/M3</t>
  </si>
  <si>
    <t>L/S</t>
  </si>
  <si>
    <t>m/s</t>
  </si>
  <si>
    <t>NS/m2</t>
  </si>
  <si>
    <t>No.</t>
  </si>
  <si>
    <t>COEFF.</t>
  </si>
  <si>
    <t>Pa</t>
  </si>
  <si>
    <t>W/MK</t>
  </si>
  <si>
    <t>CORRECTION</t>
  </si>
  <si>
    <t>DERATE FACTOR</t>
  </si>
  <si>
    <t>KG/m3</t>
  </si>
  <si>
    <t>W/M2/K</t>
  </si>
  <si>
    <t>W</t>
  </si>
  <si>
    <t>Watts</t>
  </si>
  <si>
    <t>Wattts</t>
  </si>
  <si>
    <t>FIREBOX CROWN</t>
  </si>
  <si>
    <t>LESS HEAT TRANSFER LOST DUE TO S/H SHADOW</t>
  </si>
  <si>
    <t>As above</t>
  </si>
  <si>
    <t>SUMMARY OF RESULTS</t>
  </si>
  <si>
    <t>FLUE INLET TEMP</t>
  </si>
  <si>
    <t>HEAT TRANSFERRED</t>
  </si>
  <si>
    <t>FIREBED TO WATER RADIATION</t>
  </si>
  <si>
    <t>Kilowatts</t>
  </si>
  <si>
    <t>FLAME TO WATER RADIATION</t>
  </si>
  <si>
    <t>GAS TO WATER CONVECTION</t>
  </si>
  <si>
    <t>TOTAL HEAT TRANSFERRED</t>
  </si>
  <si>
    <t>FIREBOX EVAPORATION</t>
  </si>
  <si>
    <t>Kg/s</t>
  </si>
  <si>
    <t>lbs/ft2/hr</t>
  </si>
  <si>
    <t>RADIATIVE INTENSITY AT SUPERHEATERS</t>
  </si>
  <si>
    <t>kW/m2</t>
  </si>
  <si>
    <t>FLAME TEMPERATURE AT SUPERHEATERS</t>
  </si>
  <si>
    <t>HEAT LOSS FROM OUTSIDE SHELL</t>
  </si>
  <si>
    <t>BOILER O/A LENGTH</t>
  </si>
  <si>
    <t>BOILER SHELL DIA.</t>
  </si>
  <si>
    <t>INSULATION PERFORMANCE</t>
  </si>
  <si>
    <t>Watts/m Deg.C</t>
  </si>
  <si>
    <t>LOSS TO RADIATION</t>
  </si>
  <si>
    <t>REGULATOR &amp; ASSOCIATED PIPEWORK (BETWEEN BOILER &amp; SUPERHEATER  ELEMENTS)</t>
  </si>
  <si>
    <t>PRESSURE FROM BOILER</t>
  </si>
  <si>
    <t>Bar</t>
  </si>
  <si>
    <t>ENTHALPY OF BOILER STEAM</t>
  </si>
  <si>
    <t>TEMPERATURE OF BOILER STEAM</t>
  </si>
  <si>
    <t>Bar Abs.</t>
  </si>
  <si>
    <t>SATURATION TEMP OF REGULATED STEAM</t>
  </si>
  <si>
    <t>ENTHALPY OF REGULATED STEAM</t>
  </si>
  <si>
    <t>Pressure reduction without loss of energy to surroundings.</t>
  </si>
  <si>
    <t>ENTHALPY OF DRY REGULATED STEAM</t>
  </si>
  <si>
    <t>TEMPERATURE OF REGULATED STEAM</t>
  </si>
  <si>
    <t>DENSITY OF REGULATED STEAM</t>
  </si>
  <si>
    <t>Kg/m3</t>
  </si>
  <si>
    <t>CALCULATION OF FLOW &amp; HEAT TRANSFER BY CONVECTION &amp; RADIATION IN SMOKE FLUES</t>
  </si>
  <si>
    <t>TOTAL FLUE GAS MASS FLOW</t>
  </si>
  <si>
    <t>KG/S</t>
  </si>
  <si>
    <t>INLET TEMPERATURE</t>
  </si>
  <si>
    <t>Energy in inlet gas</t>
  </si>
  <si>
    <t>Kj/kg</t>
  </si>
  <si>
    <t>Assumes mean specific heat of 1.11 kj/kg k for furnace gases, based on dry air at low press.</t>
  </si>
  <si>
    <t>WATER TEMP.</t>
  </si>
  <si>
    <t>NUMBER OF FLUES</t>
  </si>
  <si>
    <t>No. OF S/HEATER FLUES</t>
  </si>
  <si>
    <t>SMOKETUBE FLOW AREA</t>
  </si>
  <si>
    <t>mm2</t>
  </si>
  <si>
    <t>S/HEATER FLOW AREA</t>
  </si>
  <si>
    <t>DIAMETER OF S/HEATER FLUE</t>
  </si>
  <si>
    <t>HYDRAULIC DIA. OF S/HEATER FLUE</t>
  </si>
  <si>
    <t>hd=4A/perimeter</t>
  </si>
  <si>
    <t>OUTSIDE DIAMETER OF S/HEATER</t>
  </si>
  <si>
    <t>TOTAL FLUE AREA</t>
  </si>
  <si>
    <t>SMOKE TUBE INTERNAL DIAMETER</t>
  </si>
  <si>
    <t>FLUE LENGTH</t>
  </si>
  <si>
    <t>CALCULATED EMISSIVITY OF TUBE GASES</t>
  </si>
  <si>
    <t>APPROXIMATE CALCULATION TO DETERMINE RELATIVE FLOWS THROUGH SMOKE &amp; SUPERHEATER FLUES</t>
  </si>
  <si>
    <t>ITERATION 1</t>
  </si>
  <si>
    <t>ITERATION 2 - Smoke tube flow plus 1%</t>
  </si>
  <si>
    <t>ITERATION 3 - Mass flow revised per Newton Raphson Method.</t>
  </si>
  <si>
    <t>SYSTEM DESCRIPTION</t>
  </si>
  <si>
    <t>MASS</t>
  </si>
  <si>
    <t>FITTING</t>
  </si>
  <si>
    <t>FLOW</t>
  </si>
  <si>
    <t>DESCRIPTION</t>
  </si>
  <si>
    <t>Smoke Flue</t>
  </si>
  <si>
    <t>Superheater Flue</t>
  </si>
  <si>
    <t>MASS FLOW/SMOKE FLUE</t>
  </si>
  <si>
    <t xml:space="preserve">ERROR = </t>
  </si>
  <si>
    <t>ERROR=</t>
  </si>
  <si>
    <t>MASS FLOW/ S/H FLUE</t>
  </si>
  <si>
    <t>TOTAL</t>
  </si>
  <si>
    <t>SURROUND</t>
  </si>
  <si>
    <t>Entry</t>
  </si>
  <si>
    <t>Flue</t>
  </si>
  <si>
    <t>Exit to smokebox</t>
  </si>
  <si>
    <t>TEMP. OF SMOKEBOX GAS</t>
  </si>
  <si>
    <t>FROM FIREBOX</t>
  </si>
  <si>
    <t>FROM FIRE TUBES</t>
  </si>
  <si>
    <t>FROM SUPERHEATER TUBES</t>
  </si>
  <si>
    <t>Assumes superheater flue evaporation rate is equal to smoke tube rate, approximately true and checked below in superheater calculation.</t>
  </si>
  <si>
    <t>LOSS THROUGH EXTERNAL SHELL</t>
  </si>
  <si>
    <t>NON RECOVERABLE HEAT IN FLUE GAS</t>
  </si>
  <si>
    <t xml:space="preserve">kilowatts at </t>
  </si>
  <si>
    <t>Deg. C exit temp.</t>
  </si>
  <si>
    <t>EVAPORATION</t>
  </si>
  <si>
    <t>TOTAL EVAPORATION (ESTIMATE)</t>
  </si>
  <si>
    <t>lbs/hr</t>
  </si>
  <si>
    <t>From firebox, smoke flues &amp; superheater flues.</t>
  </si>
  <si>
    <t>SMOKE FLUE DRAUGHT LOSS</t>
  </si>
  <si>
    <t>mm H2O</t>
  </si>
  <si>
    <t>FIRST ESTIMATE OF SUPERHEATER PERFORMANCE</t>
  </si>
  <si>
    <t>FLUE GAS INLET TEMP</t>
  </si>
  <si>
    <t>FLUE GAS MASS FLOW / S/HEATER FLUE</t>
  </si>
  <si>
    <t>LENGTH OF RADIANT S/HEATER</t>
  </si>
  <si>
    <t>mm pipe runs out and back over this length.</t>
  </si>
  <si>
    <t>Set above to small positive number for non radiant S/Heater</t>
  </si>
  <si>
    <t>FIRE TEMPERATURE</t>
  </si>
  <si>
    <t>Flue gas temperature near firebox crown</t>
  </si>
  <si>
    <t>HEIGHT OF S/H ELEMENT ABOVE FIRE</t>
  </si>
  <si>
    <t>EQUIVALENT DIAMETER OF FIREBOX</t>
  </si>
  <si>
    <t>CALCULATED ITEMS</t>
  </si>
  <si>
    <t>AREA INSIDE FLUE</t>
  </si>
  <si>
    <t>STEAM INLET PRESSURE</t>
  </si>
  <si>
    <t>HYDRAULIC DIAMETER OF S/HEAT FLUE</t>
  </si>
  <si>
    <t>EMISSIVITY OF FLUE GASES</t>
  </si>
  <si>
    <t>Based on superheater flue hydraulic diameter</t>
  </si>
  <si>
    <t>STEAM INLET TEMPERATURE</t>
  </si>
  <si>
    <t>EMISSIVITY OF FIREBOX GASES</t>
  </si>
  <si>
    <t>Based on firebox half diameter</t>
  </si>
  <si>
    <t>STEAM INLET ENTHALPY</t>
  </si>
  <si>
    <t>TRANSMISSIBILITY OF FIREBOX GASES</t>
  </si>
  <si>
    <t>Based on beam length fire to S/H</t>
  </si>
  <si>
    <t>TOTAL STEAM MASS FLOW</t>
  </si>
  <si>
    <t>AVERAGE VIEW FACTOR S/H ELEMENT TO FIRE</t>
  </si>
  <si>
    <t>Per m2</t>
  </si>
  <si>
    <t>Assumes S/H is directly above fire</t>
  </si>
  <si>
    <t>STEAM MASS FLOW PER ELEMENT</t>
  </si>
  <si>
    <t>Also gives average view factor for circular superhater bottom half.</t>
  </si>
  <si>
    <t>Flue section only - do not include radiant section</t>
  </si>
  <si>
    <t>INSIDE DIAMETER OF S/HEATER</t>
  </si>
  <si>
    <t>SECTION TO ESTIMATE WET STEAM TEMPERATURE AT FIREBOX TUBEPLATE - ASSUMES FLUE TEMPERATURE PROFILE IS SAME AS FIRETUBE TEMPERATURE PROFILE</t>
  </si>
  <si>
    <t>Newton Raphson solution  to determine pipe wall temperature by balancing heat in + heat out.</t>
  </si>
  <si>
    <t>2nd ITERATION WET SIDE</t>
  </si>
  <si>
    <t>FLUE</t>
  </si>
  <si>
    <t>INITIAL</t>
  </si>
  <si>
    <t>ESTIMATE OF</t>
  </si>
  <si>
    <t>2nd</t>
  </si>
  <si>
    <t>1 st ITERATION WET SIDE</t>
  </si>
  <si>
    <t>3rd</t>
  </si>
  <si>
    <t>WET STEAM LEG</t>
  </si>
  <si>
    <t>TRANSFER</t>
  </si>
  <si>
    <t>HEAT TRANSFER INSIDE S/HEATER ELEMENT, WET SIDE</t>
  </si>
  <si>
    <t>ELEMENT TO</t>
  </si>
  <si>
    <t>S/H WALL</t>
  </si>
  <si>
    <t>Radiant</t>
  </si>
  <si>
    <t>STEAM</t>
  </si>
  <si>
    <t>GAS</t>
  </si>
  <si>
    <t>TEMP. FOR</t>
  </si>
  <si>
    <t>TO S/HEATER</t>
  </si>
  <si>
    <t>HEAT INPUT</t>
  </si>
  <si>
    <t>FLAME</t>
  </si>
  <si>
    <t>ENTHALPY</t>
  </si>
  <si>
    <t>PRESS.</t>
  </si>
  <si>
    <t>PROPERTIES</t>
  </si>
  <si>
    <t>ELEMENTS</t>
  </si>
  <si>
    <t>TO SUPERHEATER</t>
  </si>
  <si>
    <t>HEAT TRANSF.</t>
  </si>
  <si>
    <t>HEAT  TRANSF.</t>
  </si>
  <si>
    <t>PLUS 1</t>
  </si>
  <si>
    <t>FLUE FITTING DESCRIPTION</t>
  </si>
  <si>
    <t>W/m pipe run/K</t>
  </si>
  <si>
    <t>Flue &amp; superheater pipes</t>
  </si>
  <si>
    <t>SUPERHEATER RADIANT SECTION, COMMENCING AT INLET TO FIREBOX AREA – FIRST ITERATION</t>
  </si>
  <si>
    <t>ESTIMATE OF HEAT TRANSFER ON STEAM SIDE</t>
  </si>
  <si>
    <t>REVISED</t>
  </si>
  <si>
    <t>WALL TEMP</t>
  </si>
  <si>
    <t>LAMINAR</t>
  </si>
  <si>
    <t>FLUE TO ELEMENT</t>
  </si>
  <si>
    <t>PER m PIPE</t>
  </si>
  <si>
    <t>FIRE</t>
  </si>
  <si>
    <t>W/M/K</t>
  </si>
  <si>
    <t>TO STEAM</t>
  </si>
  <si>
    <t>Radiant Superheater Wet side</t>
  </si>
  <si>
    <t>Radiant Superheater Spearhead</t>
  </si>
  <si>
    <t>Radiant Superheater Dry side</t>
  </si>
  <si>
    <t>SUPERHEATER IN FLUE SECTION COMMENCING AT FIREBOX TUBEPLATE – FIRST ITERATION</t>
  </si>
  <si>
    <t>Initial</t>
  </si>
  <si>
    <t>DRY STEAM SIDE</t>
  </si>
  <si>
    <t>Estimated</t>
  </si>
  <si>
    <t>Revised</t>
  </si>
  <si>
    <t>REVISED ESTIMATE OF DRY SUPERHEATER STEAM TEMPERATURE</t>
  </si>
  <si>
    <t>WET STEAM SIDE</t>
  </si>
  <si>
    <t>REVISED ESTIMATE OF WET SUPERHEATER STEAM TEMPERATURE</t>
  </si>
  <si>
    <t>RADIANT</t>
  </si>
  <si>
    <t>CONVECTIVE HEAT TRANSFER TO BOILER</t>
  </si>
  <si>
    <t>DRY STEAM LEG</t>
  </si>
  <si>
    <t>Nusselt number uses Sieder Tate correlation for laminar</t>
  </si>
  <si>
    <t>HEAT TRANSFER INSIDE S/HEATER ELEMENT, DRY SIDE</t>
  </si>
  <si>
    <t>Convected</t>
  </si>
  <si>
    <t>Radiated</t>
  </si>
  <si>
    <t>Wall</t>
  </si>
  <si>
    <t>HEAT TRANSER</t>
  </si>
  <si>
    <t>Heat Input</t>
  </si>
  <si>
    <t>Heat Transfer</t>
  </si>
  <si>
    <t>Temperature</t>
  </si>
  <si>
    <t>TO BOILER</t>
  </si>
  <si>
    <t>HEAT TRANSFER</t>
  </si>
  <si>
    <t>To Superheater</t>
  </si>
  <si>
    <t>To Steam</t>
  </si>
  <si>
    <t>Plus 1</t>
  </si>
  <si>
    <t>FROM FLUE GAS</t>
  </si>
  <si>
    <t>Flue Entry</t>
  </si>
  <si>
    <t>Flue exit to smokebox</t>
  </si>
  <si>
    <t>ERROR IN WET STEAM ESTIMATE</t>
  </si>
  <si>
    <t>SUPERHEATER FLUE DRAUGHT LOSS</t>
  </si>
  <si>
    <t>REVISED FLUE GAS MASS FLOW / S/HEATER FLUE</t>
  </si>
  <si>
    <t>REVISED STARTING ENTHALPY</t>
  </si>
  <si>
    <t>REVISED STARTING TEMPERATURE</t>
  </si>
  <si>
    <t>HEAT INPUT TO BOILER FROM S/H FLUES</t>
  </si>
  <si>
    <t>EVAPORATION FROM S/H FLUES</t>
  </si>
  <si>
    <t>SECOND ESTIMATE OF FIRETUBE PERFORMANCE</t>
  </si>
  <si>
    <t>SUMMARY OF FLUE RESULTS FOR CHART 1</t>
  </si>
  <si>
    <t>Dist along flue m</t>
  </si>
  <si>
    <t>Water Temp. Deg. C</t>
  </si>
  <si>
    <t>Temperature Deg. C</t>
  </si>
  <si>
    <t>Total heat transferred Watts</t>
  </si>
  <si>
    <t>Percentage Heat Exhausted</t>
  </si>
  <si>
    <t>L/ID^2</t>
  </si>
  <si>
    <t>L/ID</t>
  </si>
  <si>
    <t>SECOND ESTIMATE OF SUPERHEATER PERFORMANCE</t>
  </si>
  <si>
    <t>ASSUMED STEAM ENTHALPY AT FIREBOX</t>
  </si>
  <si>
    <t>SUPERHEATER RADIANT SECTION, COMMENCING AT INLET TO FIREBOX AREA – SECOND ITERATION</t>
  </si>
  <si>
    <t>SUPERHEATER IN FLUE SECTION COMMENCING AT FIREBOX TUBEPLATE – SECOND ITERATION</t>
  </si>
  <si>
    <t>SUPERHEAT STEAM TEMPERATURE</t>
  </si>
  <si>
    <t>SUPERHEAT TEMPERATURE RISE</t>
  </si>
  <si>
    <t>STEAM PRESSURE LOSS THRO' SUPERHEATER</t>
  </si>
  <si>
    <t>PSI</t>
  </si>
  <si>
    <t>EXIT TEMPERATURE FROM S/H FLUE</t>
  </si>
  <si>
    <t>MEAN SMOKEBOX TEMPERATURE</t>
  </si>
  <si>
    <t>TOTAL EVAPORATION</t>
  </si>
  <si>
    <t>WATER EVAP/COAL CONSUMPTION</t>
  </si>
  <si>
    <t>kg/kg</t>
  </si>
  <si>
    <t>ENERGY IN STEAM PRODUCED</t>
  </si>
  <si>
    <t>SUPERHEAT</t>
  </si>
  <si>
    <t>RADIANT SUPERHEAT FROM F/BOX</t>
  </si>
  <si>
    <t>SUPERHEAT IN FLUES</t>
  </si>
  <si>
    <t>Chart 2 Data</t>
  </si>
  <si>
    <t>HEAT BALANCE</t>
  </si>
  <si>
    <t>TOTAL FUEL</t>
  </si>
  <si>
    <t>UNBURNT FUEL</t>
  </si>
  <si>
    <t>FIRE OUTPUT</t>
  </si>
  <si>
    <t>LOST TO CHIMNEY</t>
  </si>
  <si>
    <t>HEAT CONSUMPTION</t>
  </si>
  <si>
    <t>FIRETUBES</t>
  </si>
  <si>
    <t>SUPERHEATER FLUES TO BOILER</t>
  </si>
  <si>
    <t>SUPERHEATER TO STEAM</t>
  </si>
  <si>
    <t>LOSS TO BOILER CASING</t>
  </si>
  <si>
    <t>FIREBOX HEAT TRANSFER</t>
  </si>
  <si>
    <t>FIRETUBE HEAT TRANSFER</t>
  </si>
  <si>
    <t>RADIANT HEAT TRANSFER</t>
  </si>
  <si>
    <t>SUPERHEATER HEAT TRANSFER</t>
  </si>
  <si>
    <t>STEAM FLOW</t>
  </si>
  <si>
    <t>SUPERHEAT ABOVE SAT. TEMP.</t>
  </si>
  <si>
    <t>STEAM RATIO (HALL)</t>
  </si>
  <si>
    <t>Number</t>
  </si>
  <si>
    <t>AVAILABLE VOLUME FOR POWER</t>
  </si>
  <si>
    <t>m3/second</t>
  </si>
  <si>
    <t>Flue Gas Temp Deg. C</t>
  </si>
  <si>
    <t>Ewins Test 2</t>
  </si>
  <si>
    <t>ALCO Bulletin 2017</t>
  </si>
  <si>
    <t>Distance</t>
  </si>
  <si>
    <t>Convective</t>
  </si>
  <si>
    <t>Flue Gas</t>
  </si>
  <si>
    <t>Along superheater</t>
  </si>
  <si>
    <t>Wet Side</t>
  </si>
  <si>
    <t>Dry Side</t>
  </si>
  <si>
    <t>Temp</t>
  </si>
  <si>
    <t>WORKING CONDITIONS SELECTED</t>
  </si>
  <si>
    <t>GATE LOADING</t>
  </si>
  <si>
    <t>FUEL FLOW</t>
  </si>
  <si>
    <t>BOILER WORKING PRESSURE</t>
  </si>
  <si>
    <t>PRESSURE AFTER REGULATOR</t>
  </si>
  <si>
    <t>PREDICTED PERFORMANCE</t>
  </si>
  <si>
    <t>FLUE GAS FLOW</t>
  </si>
  <si>
    <t>DRAUGHT(MIN ESTIMATE)</t>
  </si>
  <si>
    <t>Through tube bank only, excludes grate, fire &amp; ashpan.</t>
  </si>
  <si>
    <t>DRAUGHT(MAX ESTIMATE)</t>
  </si>
  <si>
    <t>MAX. TEMP IN FIREBOX</t>
  </si>
  <si>
    <t>INLET TEMP TO FLUES</t>
  </si>
  <si>
    <t>EXIT TEMP FROM FIRETUBES</t>
  </si>
  <si>
    <t>EXIT TEMP FROM SUPERHEATER FLUES</t>
  </si>
  <si>
    <t>AVERAGE SMOKEBOX TEMPERATURE</t>
  </si>
  <si>
    <t>EVAPORATION RATE</t>
  </si>
  <si>
    <t>CALCULATED EVAPORATION RATE</t>
  </si>
  <si>
    <t>Ratio</t>
  </si>
  <si>
    <t>After superheating</t>
  </si>
  <si>
    <t>BOILER EFFICIENCY</t>
  </si>
  <si>
    <t>Total heat in coal / (Enthalpy of steam produced - Enthalpy of Feed Water) / Evaporation Rate</t>
  </si>
  <si>
    <t>SUPERHEATED STEAM TEMPERATURE</t>
  </si>
  <si>
    <t>Temperature over saturation steam temperature at regulated pressure.</t>
  </si>
  <si>
    <t>SUPERHEAT PRESSURE DROP</t>
  </si>
  <si>
    <t>Applies only to 5” gauge models – apply at other scales with caution.  Based on Prof. Hall's data.</t>
  </si>
  <si>
    <t>6 Scottish coals, Loco Engineers Pocket Book p 40</t>
  </si>
  <si>
    <t>Pennsylvania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</si>
</sst>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0.00000"/>
    <numFmt numFmtId="165" formatCode="0.0"/>
    <numFmt numFmtId="166" formatCode="0.000E+00"/>
    <numFmt numFmtId="167" formatCode="0.000"/>
    <numFmt numFmtId="168" formatCode="0.0_)"/>
    <numFmt numFmtId="169" formatCode="0.0000"/>
    <numFmt numFmtId="170" formatCode="0.0000E+00"/>
    <numFmt numFmtId="171" formatCode="0.000_)"/>
    <numFmt numFmtId="172" formatCode="0.00_)"/>
    <numFmt numFmtId="173" formatCode="0.0000_)"/>
    <numFmt numFmtId="174" formatCode="0.000000"/>
    <numFmt numFmtId="175" formatCode="0.0000000"/>
    <numFmt numFmtId="176" formatCode="0.00E+000"/>
    <numFmt numFmtId="177" formatCode="0.000000_)"/>
    <numFmt numFmtId="178" formatCode="0_)"/>
    <numFmt numFmtId="179" formatCode="0.000000E+00"/>
  </numFmts>
  <fonts count="11" x14ac:knownFonts="1">
    <font>
      <sz val="10"/>
      <name val="Courier New"/>
      <family val="3"/>
    </font>
    <font>
      <sz val="8"/>
      <name val="Arial"/>
      <family val="2"/>
    </font>
    <font>
      <sz val="8"/>
      <color indexed="30"/>
      <name val="Arial"/>
      <family val="2"/>
    </font>
    <font>
      <b/>
      <sz val="8"/>
      <name val="Arial"/>
      <family val="2"/>
      <charset val="1"/>
    </font>
    <font>
      <sz val="10"/>
      <color indexed="30"/>
      <name val="Courier New"/>
      <family val="3"/>
    </font>
    <font>
      <b/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  <charset val="1"/>
    </font>
    <font>
      <u/>
      <sz val="10"/>
      <color indexed="12"/>
      <name val="Courier New"/>
      <family val="3"/>
    </font>
    <font>
      <u/>
      <sz val="8"/>
      <color indexed="1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55"/>
      </patternFill>
    </fill>
    <fill>
      <patternFill patternType="solid">
        <fgColor indexed="17"/>
        <bgColor indexed="38"/>
      </patternFill>
    </fill>
    <fill>
      <patternFill patternType="solid">
        <fgColor indexed="44"/>
        <bgColor indexed="31"/>
      </patternFill>
    </fill>
  </fills>
  <borders count="2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hair">
        <color indexed="8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5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/>
    <xf numFmtId="0" fontId="4" fillId="0" borderId="0" xfId="0" applyFont="1"/>
    <xf numFmtId="164" fontId="1" fillId="0" borderId="0" xfId="0" applyNumberFormat="1" applyFont="1" applyBorder="1"/>
    <xf numFmtId="164" fontId="2" fillId="0" borderId="0" xfId="0" applyNumberFormat="1" applyFont="1"/>
    <xf numFmtId="165" fontId="2" fillId="0" borderId="0" xfId="0" applyNumberFormat="1" applyFont="1" applyBorder="1"/>
    <xf numFmtId="0" fontId="1" fillId="0" borderId="0" xfId="0" applyFont="1"/>
    <xf numFmtId="165" fontId="1" fillId="0" borderId="0" xfId="0" applyNumberFormat="1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1" fontId="1" fillId="0" borderId="0" xfId="0" applyNumberFormat="1" applyFont="1" applyBorder="1"/>
    <xf numFmtId="166" fontId="1" fillId="0" borderId="0" xfId="0" applyNumberFormat="1" applyFont="1" applyBorder="1"/>
    <xf numFmtId="0" fontId="1" fillId="0" borderId="0" xfId="0" applyFont="1" applyFill="1" applyBorder="1"/>
    <xf numFmtId="167" fontId="2" fillId="0" borderId="0" xfId="0" applyNumberFormat="1" applyFont="1" applyFill="1" applyBorder="1"/>
    <xf numFmtId="2" fontId="2" fillId="0" borderId="0" xfId="0" applyNumberFormat="1" applyFont="1"/>
    <xf numFmtId="0" fontId="5" fillId="0" borderId="0" xfId="0" applyFont="1" applyBorder="1"/>
    <xf numFmtId="0" fontId="6" fillId="0" borderId="0" xfId="0" applyFont="1" applyBorder="1"/>
    <xf numFmtId="11" fontId="1" fillId="0" borderId="0" xfId="0" applyNumberFormat="1" applyFont="1" applyBorder="1"/>
    <xf numFmtId="2" fontId="2" fillId="0" borderId="0" xfId="0" applyNumberFormat="1" applyFont="1" applyBorder="1"/>
    <xf numFmtId="0" fontId="3" fillId="0" borderId="0" xfId="0" applyFont="1" applyAlignment="1">
      <alignment horizontal="left"/>
    </xf>
    <xf numFmtId="165" fontId="2" fillId="0" borderId="0" xfId="0" applyNumberFormat="1" applyFont="1"/>
    <xf numFmtId="167" fontId="2" fillId="0" borderId="0" xfId="0" applyNumberFormat="1" applyFont="1"/>
    <xf numFmtId="167" fontId="1" fillId="0" borderId="0" xfId="0" applyNumberFormat="1" applyFont="1"/>
    <xf numFmtId="167" fontId="2" fillId="0" borderId="0" xfId="0" applyNumberFormat="1" applyFont="1" applyBorder="1"/>
    <xf numFmtId="167" fontId="1" fillId="0" borderId="0" xfId="0" applyNumberFormat="1" applyFont="1" applyBorder="1"/>
    <xf numFmtId="2" fontId="1" fillId="0" borderId="0" xfId="0" applyNumberFormat="1" applyFont="1"/>
    <xf numFmtId="0" fontId="1" fillId="0" borderId="0" xfId="0" applyFont="1" applyFill="1"/>
    <xf numFmtId="0" fontId="7" fillId="0" borderId="0" xfId="0" applyFont="1"/>
    <xf numFmtId="0" fontId="5" fillId="0" borderId="0" xfId="0" applyFont="1"/>
    <xf numFmtId="166" fontId="1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166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165" fontId="1" fillId="0" borderId="0" xfId="0" applyNumberFormat="1" applyFont="1" applyBorder="1"/>
    <xf numFmtId="0" fontId="1" fillId="0" borderId="5" xfId="0" applyFont="1" applyBorder="1"/>
    <xf numFmtId="0" fontId="9" fillId="0" borderId="0" xfId="1" applyNumberFormat="1" applyFont="1" applyFill="1" applyBorder="1" applyAlignment="1" applyProtection="1"/>
    <xf numFmtId="0" fontId="1" fillId="0" borderId="6" xfId="0" applyFont="1" applyBorder="1"/>
    <xf numFmtId="1" fontId="1" fillId="0" borderId="7" xfId="0" applyNumberFormat="1" applyFont="1" applyBorder="1"/>
    <xf numFmtId="0" fontId="1" fillId="0" borderId="7" xfId="0" applyFont="1" applyBorder="1"/>
    <xf numFmtId="0" fontId="1" fillId="0" borderId="8" xfId="0" applyFont="1" applyBorder="1"/>
    <xf numFmtId="11" fontId="1" fillId="0" borderId="0" xfId="0" applyNumberFormat="1" applyFont="1"/>
    <xf numFmtId="0" fontId="1" fillId="2" borderId="9" xfId="0" applyFont="1" applyFill="1" applyBorder="1"/>
    <xf numFmtId="0" fontId="1" fillId="2" borderId="10" xfId="0" applyFont="1" applyFill="1" applyBorder="1"/>
    <xf numFmtId="166" fontId="1" fillId="2" borderId="10" xfId="0" applyNumberFormat="1" applyFont="1" applyFill="1" applyBorder="1"/>
    <xf numFmtId="11" fontId="1" fillId="2" borderId="10" xfId="0" applyNumberFormat="1" applyFont="1" applyFill="1" applyBorder="1"/>
    <xf numFmtId="0" fontId="1" fillId="2" borderId="11" xfId="0" applyFont="1" applyFill="1" applyBorder="1"/>
    <xf numFmtId="0" fontId="1" fillId="2" borderId="0" xfId="0" applyFont="1" applyFill="1" applyBorder="1"/>
    <xf numFmtId="1" fontId="1" fillId="2" borderId="0" xfId="0" applyNumberFormat="1" applyFont="1" applyFill="1" applyBorder="1"/>
    <xf numFmtId="1" fontId="1" fillId="2" borderId="0" xfId="0" applyNumberFormat="1" applyFont="1" applyFill="1"/>
    <xf numFmtId="11" fontId="1" fillId="2" borderId="0" xfId="0" applyNumberFormat="1" applyFont="1" applyFill="1"/>
    <xf numFmtId="0" fontId="1" fillId="2" borderId="0" xfId="0" applyFont="1" applyFill="1"/>
    <xf numFmtId="0" fontId="1" fillId="2" borderId="5" xfId="0" applyFont="1" applyFill="1" applyBorder="1"/>
    <xf numFmtId="166" fontId="1" fillId="2" borderId="0" xfId="0" applyNumberFormat="1" applyFont="1" applyFill="1" applyBorder="1"/>
    <xf numFmtId="166" fontId="1" fillId="2" borderId="0" xfId="0" applyNumberFormat="1" applyFont="1" applyFill="1"/>
    <xf numFmtId="168" fontId="1" fillId="2" borderId="0" xfId="0" applyNumberFormat="1" applyFont="1" applyFill="1"/>
    <xf numFmtId="0" fontId="1" fillId="0" borderId="0" xfId="0" applyFont="1" applyAlignment="1">
      <alignment horizontal="left" indent="1"/>
    </xf>
    <xf numFmtId="0" fontId="6" fillId="2" borderId="5" xfId="0" applyFont="1" applyFill="1" applyBorder="1"/>
    <xf numFmtId="0" fontId="6" fillId="0" borderId="0" xfId="0" applyFont="1"/>
    <xf numFmtId="169" fontId="1" fillId="2" borderId="0" xfId="0" applyNumberFormat="1" applyFont="1" applyFill="1" applyBorder="1"/>
    <xf numFmtId="169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8" fontId="1" fillId="2" borderId="0" xfId="0" applyNumberFormat="1" applyFont="1" applyFill="1" applyAlignment="1">
      <alignment horizontal="center"/>
    </xf>
    <xf numFmtId="166" fontId="1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6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70" fontId="1" fillId="2" borderId="0" xfId="0" applyNumberFormat="1" applyFont="1" applyFill="1" applyAlignment="1">
      <alignment horizontal="center"/>
    </xf>
    <xf numFmtId="11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67" fontId="1" fillId="2" borderId="0" xfId="0" applyNumberFormat="1" applyFont="1" applyFill="1" applyAlignment="1">
      <alignment horizontal="center"/>
    </xf>
    <xf numFmtId="167" fontId="1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/>
    <xf numFmtId="167" fontId="1" fillId="2" borderId="0" xfId="0" applyNumberFormat="1" applyFont="1" applyFill="1" applyBorder="1"/>
    <xf numFmtId="169" fontId="1" fillId="2" borderId="0" xfId="0" applyNumberFormat="1" applyFont="1" applyFill="1"/>
    <xf numFmtId="11" fontId="1" fillId="2" borderId="0" xfId="0" applyNumberFormat="1" applyFont="1" applyFill="1" applyBorder="1"/>
    <xf numFmtId="165" fontId="1" fillId="2" borderId="0" xfId="0" applyNumberFormat="1" applyFont="1" applyFill="1" applyBorder="1"/>
    <xf numFmtId="0" fontId="1" fillId="2" borderId="7" xfId="0" applyFont="1" applyFill="1" applyBorder="1"/>
    <xf numFmtId="165" fontId="1" fillId="2" borderId="7" xfId="0" applyNumberFormat="1" applyFont="1" applyFill="1" applyBorder="1"/>
    <xf numFmtId="166" fontId="1" fillId="2" borderId="7" xfId="0" applyNumberFormat="1" applyFont="1" applyFill="1" applyBorder="1"/>
    <xf numFmtId="0" fontId="1" fillId="2" borderId="8" xfId="0" applyFont="1" applyFill="1" applyBorder="1"/>
    <xf numFmtId="0" fontId="1" fillId="3" borderId="1" xfId="0" applyFont="1" applyFill="1" applyBorder="1"/>
    <xf numFmtId="166" fontId="1" fillId="3" borderId="2" xfId="0" applyNumberFormat="1" applyFont="1" applyFill="1" applyBorder="1"/>
    <xf numFmtId="0" fontId="1" fillId="3" borderId="2" xfId="0" applyFont="1" applyFill="1" applyBorder="1"/>
    <xf numFmtId="0" fontId="1" fillId="0" borderId="2" xfId="0" applyFont="1" applyFill="1" applyBorder="1"/>
    <xf numFmtId="0" fontId="1" fillId="0" borderId="0" xfId="0" applyFont="1" applyBorder="1" applyAlignment="1" applyProtection="1">
      <alignment horizontal="left"/>
    </xf>
    <xf numFmtId="0" fontId="1" fillId="3" borderId="4" xfId="0" applyFont="1" applyFill="1" applyBorder="1"/>
    <xf numFmtId="167" fontId="1" fillId="3" borderId="0" xfId="0" applyNumberFormat="1" applyFont="1" applyFill="1" applyBorder="1"/>
    <xf numFmtId="11" fontId="1" fillId="3" borderId="0" xfId="0" applyNumberFormat="1" applyFont="1" applyFill="1" applyBorder="1"/>
    <xf numFmtId="0" fontId="1" fillId="3" borderId="0" xfId="0" applyFont="1" applyFill="1" applyBorder="1"/>
    <xf numFmtId="2" fontId="1" fillId="3" borderId="0" xfId="0" applyNumberFormat="1" applyFont="1" applyFill="1" applyBorder="1"/>
    <xf numFmtId="169" fontId="1" fillId="0" borderId="0" xfId="0" applyNumberFormat="1" applyFont="1" applyBorder="1"/>
    <xf numFmtId="167" fontId="1" fillId="3" borderId="0" xfId="0" applyNumberFormat="1" applyFont="1" applyFill="1"/>
    <xf numFmtId="0" fontId="1" fillId="3" borderId="0" xfId="0" applyFont="1" applyFill="1"/>
    <xf numFmtId="0" fontId="1" fillId="0" borderId="0" xfId="0" applyNumberFormat="1" applyFont="1" applyBorder="1" applyAlignment="1" applyProtection="1">
      <alignment horizontal="left"/>
      <protection locked="0"/>
    </xf>
    <xf numFmtId="2" fontId="1" fillId="0" borderId="0" xfId="0" applyNumberFormat="1" applyFont="1" applyBorder="1"/>
    <xf numFmtId="169" fontId="1" fillId="3" borderId="0" xfId="0" applyNumberFormat="1" applyFont="1" applyFill="1" applyBorder="1"/>
    <xf numFmtId="165" fontId="1" fillId="3" borderId="0" xfId="0" applyNumberFormat="1" applyFont="1" applyFill="1" applyBorder="1"/>
    <xf numFmtId="167" fontId="1" fillId="0" borderId="0" xfId="0" applyNumberFormat="1" applyFont="1" applyFill="1" applyBorder="1"/>
    <xf numFmtId="164" fontId="1" fillId="3" borderId="0" xfId="0" applyNumberFormat="1" applyFont="1" applyFill="1" applyBorder="1"/>
    <xf numFmtId="164" fontId="1" fillId="0" borderId="0" xfId="0" applyNumberFormat="1" applyFont="1" applyFill="1" applyBorder="1"/>
    <xf numFmtId="165" fontId="1" fillId="3" borderId="0" xfId="0" applyNumberFormat="1" applyFont="1" applyFill="1"/>
    <xf numFmtId="0" fontId="1" fillId="0" borderId="5" xfId="0" applyFont="1" applyFill="1" applyBorder="1"/>
    <xf numFmtId="166" fontId="1" fillId="0" borderId="0" xfId="0" applyNumberFormat="1" applyFont="1" applyFill="1" applyBorder="1" applyProtection="1"/>
    <xf numFmtId="166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1" fontId="1" fillId="3" borderId="0" xfId="0" applyNumberFormat="1" applyFont="1" applyFill="1" applyBorder="1"/>
    <xf numFmtId="0" fontId="1" fillId="0" borderId="0" xfId="0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/>
    </xf>
    <xf numFmtId="171" fontId="1" fillId="0" borderId="0" xfId="0" applyNumberFormat="1" applyFont="1" applyBorder="1" applyAlignment="1" applyProtection="1">
      <alignment horizontal="center"/>
    </xf>
    <xf numFmtId="165" fontId="1" fillId="0" borderId="0" xfId="0" applyNumberFormat="1" applyFont="1" applyFill="1" applyBorder="1"/>
    <xf numFmtId="167" fontId="1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 applyProtection="1">
      <alignment horizontal="center"/>
    </xf>
    <xf numFmtId="171" fontId="1" fillId="0" borderId="0" xfId="0" applyNumberFormat="1" applyFont="1" applyFill="1" applyBorder="1" applyAlignment="1" applyProtection="1">
      <alignment horizontal="center"/>
    </xf>
    <xf numFmtId="172" fontId="1" fillId="0" borderId="0" xfId="0" applyNumberFormat="1" applyFont="1" applyFill="1" applyBorder="1" applyAlignment="1" applyProtection="1">
      <alignment horizontal="center"/>
    </xf>
    <xf numFmtId="173" fontId="1" fillId="0" borderId="0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/>
    <xf numFmtId="166" fontId="1" fillId="0" borderId="0" xfId="0" applyNumberFormat="1" applyFont="1" applyFill="1"/>
    <xf numFmtId="0" fontId="1" fillId="0" borderId="0" xfId="0" applyFont="1" applyFill="1" applyBorder="1" applyAlignment="1" applyProtection="1">
      <alignment horizontal="left"/>
    </xf>
    <xf numFmtId="174" fontId="1" fillId="0" borderId="0" xfId="0" applyNumberFormat="1" applyFont="1" applyBorder="1"/>
    <xf numFmtId="166" fontId="1" fillId="0" borderId="0" xfId="0" applyNumberFormat="1" applyFont="1" applyBorder="1" applyProtection="1"/>
    <xf numFmtId="169" fontId="1" fillId="0" borderId="0" xfId="0" applyNumberFormat="1" applyFont="1" applyFill="1"/>
    <xf numFmtId="0" fontId="1" fillId="3" borderId="0" xfId="0" applyFont="1" applyFill="1" applyAlignment="1">
      <alignment horizontal="center"/>
    </xf>
    <xf numFmtId="0" fontId="1" fillId="4" borderId="0" xfId="0" applyFont="1" applyFill="1" applyBorder="1"/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4" borderId="5" xfId="0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4" borderId="0" xfId="0" applyFont="1" applyFill="1"/>
    <xf numFmtId="0" fontId="1" fillId="3" borderId="0" xfId="0" applyFont="1" applyFill="1" applyBorder="1" applyAlignment="1" applyProtection="1">
      <alignment horizontal="center"/>
    </xf>
    <xf numFmtId="0" fontId="1" fillId="4" borderId="5" xfId="0" applyFont="1" applyFill="1" applyBorder="1" applyAlignment="1" applyProtection="1">
      <alignment horizontal="center"/>
    </xf>
    <xf numFmtId="165" fontId="1" fillId="3" borderId="0" xfId="0" applyNumberFormat="1" applyFont="1" applyFill="1" applyAlignment="1">
      <alignment horizontal="center"/>
    </xf>
    <xf numFmtId="169" fontId="1" fillId="3" borderId="0" xfId="0" applyNumberFormat="1" applyFont="1" applyFill="1" applyAlignment="1">
      <alignment horizontal="center"/>
    </xf>
    <xf numFmtId="1" fontId="1" fillId="4" borderId="0" xfId="0" applyNumberFormat="1" applyFont="1" applyFill="1" applyBorder="1"/>
    <xf numFmtId="164" fontId="1" fillId="3" borderId="0" xfId="0" applyNumberFormat="1" applyFont="1" applyFill="1" applyBorder="1" applyAlignment="1">
      <alignment horizontal="center"/>
    </xf>
    <xf numFmtId="165" fontId="1" fillId="3" borderId="0" xfId="0" applyNumberFormat="1" applyFont="1" applyFill="1" applyBorder="1" applyAlignment="1">
      <alignment horizontal="center"/>
    </xf>
    <xf numFmtId="174" fontId="1" fillId="3" borderId="0" xfId="0" applyNumberFormat="1" applyFont="1" applyFill="1" applyAlignment="1">
      <alignment horizontal="center"/>
    </xf>
    <xf numFmtId="165" fontId="1" fillId="4" borderId="0" xfId="0" applyNumberFormat="1" applyFont="1" applyFill="1" applyBorder="1"/>
    <xf numFmtId="167" fontId="1" fillId="4" borderId="0" xfId="0" applyNumberFormat="1" applyFont="1" applyFill="1" applyBorder="1"/>
    <xf numFmtId="171" fontId="1" fillId="4" borderId="0" xfId="0" applyNumberFormat="1" applyFont="1" applyFill="1" applyBorder="1" applyAlignment="1" applyProtection="1">
      <alignment horizontal="center"/>
    </xf>
    <xf numFmtId="172" fontId="1" fillId="4" borderId="0" xfId="0" applyNumberFormat="1" applyFont="1" applyFill="1" applyBorder="1" applyAlignment="1" applyProtection="1">
      <alignment horizontal="center"/>
    </xf>
    <xf numFmtId="166" fontId="1" fillId="4" borderId="0" xfId="0" applyNumberFormat="1" applyFont="1" applyFill="1" applyBorder="1"/>
    <xf numFmtId="166" fontId="1" fillId="4" borderId="0" xfId="0" applyNumberFormat="1" applyFont="1" applyFill="1" applyBorder="1" applyAlignment="1">
      <alignment horizontal="center"/>
    </xf>
    <xf numFmtId="173" fontId="1" fillId="4" borderId="0" xfId="0" applyNumberFormat="1" applyFont="1" applyFill="1" applyBorder="1" applyAlignment="1" applyProtection="1">
      <alignment horizontal="center"/>
    </xf>
    <xf numFmtId="167" fontId="1" fillId="4" borderId="0" xfId="0" applyNumberFormat="1" applyFont="1" applyFill="1" applyBorder="1" applyAlignment="1">
      <alignment horizontal="center"/>
    </xf>
    <xf numFmtId="167" fontId="1" fillId="4" borderId="0" xfId="0" applyNumberFormat="1" applyFont="1" applyFill="1" applyBorder="1" applyAlignment="1" applyProtection="1">
      <alignment horizontal="center"/>
    </xf>
    <xf numFmtId="1" fontId="1" fillId="0" borderId="0" xfId="0" applyNumberFormat="1" applyFont="1"/>
    <xf numFmtId="168" fontId="1" fillId="4" borderId="0" xfId="0" applyNumberFormat="1" applyFont="1" applyFill="1" applyBorder="1" applyAlignment="1" applyProtection="1">
      <alignment horizontal="center"/>
    </xf>
    <xf numFmtId="2" fontId="1" fillId="3" borderId="0" xfId="0" applyNumberFormat="1" applyFont="1" applyFill="1" applyBorder="1" applyAlignment="1" applyProtection="1">
      <alignment horizontal="center"/>
    </xf>
    <xf numFmtId="167" fontId="1" fillId="3" borderId="0" xfId="0" applyNumberFormat="1" applyFont="1" applyFill="1" applyAlignment="1">
      <alignment horizontal="center"/>
    </xf>
    <xf numFmtId="168" fontId="1" fillId="4" borderId="5" xfId="0" applyNumberFormat="1" applyFont="1" applyFill="1" applyBorder="1" applyAlignment="1" applyProtection="1">
      <alignment horizontal="center"/>
    </xf>
    <xf numFmtId="167" fontId="1" fillId="0" borderId="0" xfId="0" applyNumberFormat="1" applyFont="1" applyBorder="1" applyAlignment="1" applyProtection="1">
      <alignment horizontal="center"/>
    </xf>
    <xf numFmtId="167" fontId="1" fillId="3" borderId="0" xfId="0" applyNumberFormat="1" applyFont="1" applyFill="1" applyBorder="1" applyAlignment="1">
      <alignment horizontal="center"/>
    </xf>
    <xf numFmtId="171" fontId="1" fillId="0" borderId="0" xfId="0" applyNumberFormat="1" applyFont="1" applyBorder="1"/>
    <xf numFmtId="173" fontId="1" fillId="0" borderId="0" xfId="0" applyNumberFormat="1" applyFont="1" applyBorder="1"/>
    <xf numFmtId="165" fontId="1" fillId="0" borderId="0" xfId="0" applyNumberFormat="1" applyFont="1"/>
    <xf numFmtId="168" fontId="1" fillId="0" borderId="0" xfId="0" applyNumberFormat="1" applyFont="1"/>
    <xf numFmtId="168" fontId="1" fillId="0" borderId="0" xfId="0" applyNumberFormat="1" applyFont="1" applyBorder="1" applyAlignment="1" applyProtection="1">
      <alignment horizontal="center"/>
    </xf>
    <xf numFmtId="168" fontId="1" fillId="0" borderId="0" xfId="0" applyNumberFormat="1" applyFont="1" applyBorder="1"/>
    <xf numFmtId="173" fontId="1" fillId="0" borderId="0" xfId="0" applyNumberFormat="1" applyFont="1" applyBorder="1" applyAlignment="1" applyProtection="1">
      <alignment horizontal="center"/>
    </xf>
    <xf numFmtId="168" fontId="1" fillId="0" borderId="5" xfId="0" applyNumberFormat="1" applyFont="1" applyBorder="1"/>
    <xf numFmtId="169" fontId="1" fillId="3" borderId="0" xfId="0" applyNumberFormat="1" applyFont="1" applyFill="1"/>
    <xf numFmtId="169" fontId="1" fillId="0" borderId="0" xfId="0" applyNumberFormat="1" applyFont="1"/>
    <xf numFmtId="169" fontId="1" fillId="0" borderId="0" xfId="0" applyNumberFormat="1" applyFont="1" applyAlignment="1">
      <alignment horizontal="center"/>
    </xf>
    <xf numFmtId="174" fontId="1" fillId="0" borderId="0" xfId="0" applyNumberFormat="1" applyFont="1"/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" fontId="1" fillId="3" borderId="0" xfId="0" applyNumberFormat="1" applyFont="1" applyFill="1"/>
    <xf numFmtId="2" fontId="1" fillId="3" borderId="0" xfId="0" applyNumberFormat="1" applyFont="1" applyFill="1"/>
    <xf numFmtId="168" fontId="1" fillId="3" borderId="0" xfId="0" applyNumberFormat="1" applyFont="1" applyFill="1"/>
    <xf numFmtId="166" fontId="1" fillId="3" borderId="0" xfId="0" applyNumberFormat="1" applyFont="1" applyFill="1" applyBorder="1"/>
    <xf numFmtId="0" fontId="1" fillId="3" borderId="7" xfId="0" applyFont="1" applyFill="1" applyBorder="1"/>
    <xf numFmtId="166" fontId="1" fillId="0" borderId="7" xfId="0" applyNumberFormat="1" applyFont="1" applyBorder="1"/>
    <xf numFmtId="2" fontId="1" fillId="0" borderId="7" xfId="0" applyNumberFormat="1" applyFont="1" applyBorder="1"/>
    <xf numFmtId="0" fontId="1" fillId="0" borderId="12" xfId="0" applyFont="1" applyFill="1" applyBorder="1"/>
    <xf numFmtId="166" fontId="1" fillId="0" borderId="12" xfId="0" applyNumberFormat="1" applyFont="1" applyFill="1" applyBorder="1"/>
    <xf numFmtId="0" fontId="1" fillId="0" borderId="4" xfId="0" applyFont="1" applyFill="1" applyBorder="1"/>
    <xf numFmtId="0" fontId="1" fillId="0" borderId="3" xfId="0" applyFont="1" applyFill="1" applyBorder="1"/>
    <xf numFmtId="0" fontId="1" fillId="5" borderId="4" xfId="0" applyFont="1" applyFill="1" applyBorder="1"/>
    <xf numFmtId="0" fontId="1" fillId="5" borderId="0" xfId="0" applyFont="1" applyFill="1"/>
    <xf numFmtId="0" fontId="1" fillId="5" borderId="5" xfId="0" applyFont="1" applyFill="1" applyBorder="1"/>
    <xf numFmtId="167" fontId="1" fillId="5" borderId="0" xfId="0" applyNumberFormat="1" applyFont="1" applyFill="1"/>
    <xf numFmtId="165" fontId="1" fillId="5" borderId="0" xfId="0" applyNumberFormat="1" applyFont="1" applyFill="1"/>
    <xf numFmtId="2" fontId="1" fillId="5" borderId="0" xfId="0" applyNumberFormat="1" applyFont="1" applyFill="1"/>
    <xf numFmtId="165" fontId="1" fillId="5" borderId="5" xfId="0" applyNumberFormat="1" applyFont="1" applyFill="1" applyBorder="1"/>
    <xf numFmtId="2" fontId="1" fillId="0" borderId="2" xfId="0" applyNumberFormat="1" applyFont="1" applyBorder="1"/>
    <xf numFmtId="167" fontId="1" fillId="0" borderId="0" xfId="0" applyNumberFormat="1" applyFont="1" applyFill="1" applyBorder="1" applyAlignment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left"/>
    </xf>
    <xf numFmtId="0" fontId="1" fillId="0" borderId="4" xfId="0" applyFont="1" applyBorder="1" applyAlignment="1" applyProtection="1">
      <alignment horizontal="left"/>
    </xf>
    <xf numFmtId="175" fontId="1" fillId="0" borderId="0" xfId="0" applyNumberFormat="1" applyFont="1" applyBorder="1"/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1" fillId="0" borderId="4" xfId="0" applyFont="1" applyBorder="1" applyAlignment="1" applyProtection="1">
      <alignment horizontal="center"/>
    </xf>
    <xf numFmtId="166" fontId="1" fillId="4" borderId="0" xfId="0" applyNumberFormat="1" applyFont="1" applyFill="1" applyBorder="1" applyAlignment="1" applyProtection="1">
      <alignment horizontal="center"/>
    </xf>
    <xf numFmtId="173" fontId="1" fillId="0" borderId="5" xfId="0" applyNumberFormat="1" applyFont="1" applyFill="1" applyBorder="1" applyAlignment="1" applyProtection="1">
      <alignment horizontal="center"/>
    </xf>
    <xf numFmtId="172" fontId="1" fillId="0" borderId="0" xfId="0" applyNumberFormat="1" applyFont="1" applyBorder="1" applyProtection="1"/>
    <xf numFmtId="167" fontId="1" fillId="0" borderId="0" xfId="0" applyNumberFormat="1" applyFont="1" applyFill="1" applyAlignment="1">
      <alignment horizontal="center"/>
    </xf>
    <xf numFmtId="173" fontId="1" fillId="0" borderId="0" xfId="0" applyNumberFormat="1" applyFont="1" applyFill="1" applyAlignment="1" applyProtection="1">
      <alignment horizontal="center"/>
    </xf>
    <xf numFmtId="173" fontId="1" fillId="0" borderId="0" xfId="0" applyNumberFormat="1" applyFont="1" applyFill="1"/>
    <xf numFmtId="2" fontId="1" fillId="0" borderId="0" xfId="0" applyNumberFormat="1" applyFont="1" applyFill="1"/>
    <xf numFmtId="173" fontId="1" fillId="0" borderId="0" xfId="0" applyNumberFormat="1" applyFont="1" applyAlignment="1" applyProtection="1">
      <alignment horizontal="center"/>
    </xf>
    <xf numFmtId="176" fontId="1" fillId="0" borderId="0" xfId="0" applyNumberFormat="1" applyFont="1" applyBorder="1"/>
    <xf numFmtId="169" fontId="1" fillId="0" borderId="0" xfId="0" applyNumberFormat="1" applyFont="1" applyFill="1" applyBorder="1"/>
    <xf numFmtId="0" fontId="1" fillId="6" borderId="13" xfId="0" applyFont="1" applyFill="1" applyBorder="1"/>
    <xf numFmtId="0" fontId="1" fillId="6" borderId="14" xfId="0" applyFont="1" applyFill="1" applyBorder="1"/>
    <xf numFmtId="0" fontId="1" fillId="6" borderId="0" xfId="0" applyFont="1" applyFill="1" applyBorder="1"/>
    <xf numFmtId="0" fontId="1" fillId="6" borderId="0" xfId="0" applyFont="1" applyFill="1"/>
    <xf numFmtId="0" fontId="1" fillId="6" borderId="0" xfId="0" applyFont="1" applyFill="1" applyBorder="1" applyAlignment="1">
      <alignment horizontal="left"/>
    </xf>
    <xf numFmtId="0" fontId="1" fillId="6" borderId="15" xfId="0" applyFont="1" applyFill="1" applyBorder="1"/>
    <xf numFmtId="172" fontId="1" fillId="0" borderId="0" xfId="0" applyNumberFormat="1" applyFont="1" applyBorder="1" applyAlignment="1" applyProtection="1">
      <alignment horizontal="center"/>
    </xf>
    <xf numFmtId="172" fontId="1" fillId="6" borderId="13" xfId="0" applyNumberFormat="1" applyFont="1" applyFill="1" applyBorder="1" applyAlignment="1" applyProtection="1">
      <alignment horizontal="left"/>
    </xf>
    <xf numFmtId="0" fontId="1" fillId="6" borderId="16" xfId="0" applyFont="1" applyFill="1" applyBorder="1"/>
    <xf numFmtId="169" fontId="1" fillId="4" borderId="0" xfId="0" applyNumberFormat="1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0" xfId="0" applyFont="1" applyFill="1" applyBorder="1" applyAlignment="1" applyProtection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 applyFill="1" applyAlignment="1" applyProtection="1">
      <alignment horizontal="center"/>
    </xf>
    <xf numFmtId="0" fontId="1" fillId="6" borderId="18" xfId="0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20" xfId="0" applyFont="1" applyFill="1" applyBorder="1"/>
    <xf numFmtId="167" fontId="1" fillId="6" borderId="0" xfId="0" applyNumberFormat="1" applyFont="1" applyFill="1" applyBorder="1" applyAlignment="1">
      <alignment horizontal="center"/>
    </xf>
    <xf numFmtId="1" fontId="1" fillId="6" borderId="0" xfId="0" applyNumberFormat="1" applyFont="1" applyFill="1" applyBorder="1" applyAlignment="1">
      <alignment horizontal="center"/>
    </xf>
    <xf numFmtId="167" fontId="1" fillId="6" borderId="0" xfId="0" applyNumberFormat="1" applyFont="1" applyFill="1" applyAlignment="1">
      <alignment horizontal="center"/>
    </xf>
    <xf numFmtId="1" fontId="1" fillId="6" borderId="0" xfId="0" applyNumberFormat="1" applyFont="1" applyFill="1" applyAlignment="1">
      <alignment horizontal="center"/>
    </xf>
    <xf numFmtId="1" fontId="1" fillId="4" borderId="0" xfId="0" applyNumberFormat="1" applyFont="1" applyFill="1" applyBorder="1" applyAlignment="1" applyProtection="1">
      <alignment horizontal="center"/>
    </xf>
    <xf numFmtId="1" fontId="1" fillId="4" borderId="0" xfId="0" applyNumberFormat="1" applyFont="1" applyFill="1" applyBorder="1" applyAlignment="1">
      <alignment horizontal="center"/>
    </xf>
    <xf numFmtId="165" fontId="1" fillId="4" borderId="0" xfId="0" applyNumberFormat="1" applyFont="1" applyFill="1" applyBorder="1" applyAlignment="1">
      <alignment horizontal="center"/>
    </xf>
    <xf numFmtId="171" fontId="1" fillId="6" borderId="0" xfId="0" applyNumberFormat="1" applyFont="1" applyFill="1" applyBorder="1" applyAlignment="1" applyProtection="1">
      <alignment horizontal="center"/>
    </xf>
    <xf numFmtId="172" fontId="1" fillId="6" borderId="0" xfId="0" applyNumberFormat="1" applyFont="1" applyFill="1" applyBorder="1" applyAlignment="1" applyProtection="1">
      <alignment horizontal="center"/>
    </xf>
    <xf numFmtId="166" fontId="1" fillId="6" borderId="0" xfId="0" applyNumberFormat="1" applyFont="1" applyFill="1" applyBorder="1" applyAlignment="1">
      <alignment horizontal="center"/>
    </xf>
    <xf numFmtId="173" fontId="1" fillId="6" borderId="0" xfId="0" applyNumberFormat="1" applyFont="1" applyFill="1" applyBorder="1" applyAlignment="1" applyProtection="1">
      <alignment horizontal="center"/>
    </xf>
    <xf numFmtId="167" fontId="1" fillId="6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Alignment="1">
      <alignment horizontal="center"/>
    </xf>
    <xf numFmtId="2" fontId="1" fillId="4" borderId="0" xfId="0" applyNumberFormat="1" applyFont="1" applyFill="1" applyAlignment="1">
      <alignment horizontal="center"/>
    </xf>
    <xf numFmtId="2" fontId="1" fillId="6" borderId="0" xfId="0" applyNumberFormat="1" applyFont="1" applyFill="1" applyAlignment="1"/>
    <xf numFmtId="2" fontId="1" fillId="6" borderId="0" xfId="0" applyNumberFormat="1" applyFont="1" applyFill="1" applyAlignment="1">
      <alignment horizontal="center"/>
    </xf>
    <xf numFmtId="2" fontId="1" fillId="6" borderId="15" xfId="0" applyNumberFormat="1" applyFont="1" applyFill="1" applyBorder="1" applyAlignment="1">
      <alignment horizontal="center"/>
    </xf>
    <xf numFmtId="177" fontId="1" fillId="0" borderId="0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/>
    <xf numFmtId="168" fontId="1" fillId="0" borderId="0" xfId="0" applyNumberFormat="1" applyFont="1" applyFill="1" applyAlignment="1" applyProtection="1">
      <alignment horizontal="center"/>
    </xf>
    <xf numFmtId="172" fontId="1" fillId="0" borderId="0" xfId="0" applyNumberFormat="1" applyFont="1" applyFill="1" applyAlignment="1" applyProtection="1">
      <alignment horizontal="center"/>
    </xf>
    <xf numFmtId="167" fontId="1" fillId="0" borderId="0" xfId="0" applyNumberFormat="1" applyFont="1" applyFill="1"/>
    <xf numFmtId="165" fontId="1" fillId="0" borderId="5" xfId="0" applyNumberFormat="1" applyFont="1" applyFill="1" applyBorder="1"/>
    <xf numFmtId="1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167" fontId="1" fillId="0" borderId="0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center"/>
    </xf>
    <xf numFmtId="167" fontId="1" fillId="6" borderId="0" xfId="0" applyNumberFormat="1" applyFont="1" applyFill="1" applyBorder="1"/>
    <xf numFmtId="166" fontId="1" fillId="6" borderId="0" xfId="0" applyNumberFormat="1" applyFont="1" applyFill="1" applyBorder="1"/>
    <xf numFmtId="2" fontId="1" fillId="6" borderId="0" xfId="0" applyNumberFormat="1" applyFont="1" applyFill="1" applyBorder="1"/>
    <xf numFmtId="164" fontId="1" fillId="6" borderId="0" xfId="0" applyNumberFormat="1" applyFont="1" applyFill="1" applyBorder="1"/>
    <xf numFmtId="167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7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6" borderId="0" xfId="0" applyNumberFormat="1" applyFont="1" applyFill="1" applyBorder="1" applyAlignment="1">
      <alignment horizontal="center"/>
    </xf>
    <xf numFmtId="168" fontId="1" fillId="0" borderId="0" xfId="0" applyNumberFormat="1" applyFont="1" applyFill="1" applyBorder="1" applyAlignment="1" applyProtection="1">
      <alignment horizontal="center"/>
    </xf>
    <xf numFmtId="173" fontId="6" fillId="0" borderId="0" xfId="0" applyNumberFormat="1" applyFont="1" applyFill="1" applyBorder="1" applyAlignment="1" applyProtection="1">
      <alignment horizontal="center"/>
    </xf>
    <xf numFmtId="168" fontId="6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>
      <alignment horizontal="left"/>
    </xf>
    <xf numFmtId="172" fontId="1" fillId="6" borderId="13" xfId="0" applyNumberFormat="1" applyFont="1" applyFill="1" applyBorder="1" applyAlignment="1" applyProtection="1">
      <alignment horizontal="center"/>
    </xf>
    <xf numFmtId="0" fontId="1" fillId="6" borderId="16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0" xfId="0" applyFont="1" applyFill="1" applyBorder="1" applyAlignment="1"/>
    <xf numFmtId="0" fontId="1" fillId="6" borderId="20" xfId="0" applyFont="1" applyFill="1" applyBorder="1" applyAlignment="1">
      <alignment horizontal="center"/>
    </xf>
    <xf numFmtId="178" fontId="1" fillId="6" borderId="0" xfId="0" applyNumberFormat="1" applyFont="1" applyFill="1" applyAlignment="1">
      <alignment horizontal="center"/>
    </xf>
    <xf numFmtId="1" fontId="1" fillId="6" borderId="0" xfId="0" applyNumberFormat="1" applyFont="1" applyFill="1" applyBorder="1"/>
    <xf numFmtId="165" fontId="1" fillId="6" borderId="0" xfId="0" applyNumberFormat="1" applyFont="1" applyFill="1" applyBorder="1"/>
    <xf numFmtId="2" fontId="1" fillId="0" borderId="0" xfId="0" applyNumberFormat="1" applyFont="1" applyFill="1" applyAlignment="1">
      <alignment horizontal="center"/>
    </xf>
    <xf numFmtId="2" fontId="1" fillId="4" borderId="0" xfId="0" applyNumberFormat="1" applyFont="1" applyFill="1"/>
    <xf numFmtId="1" fontId="1" fillId="6" borderId="0" xfId="0" applyNumberFormat="1" applyFont="1" applyFill="1"/>
    <xf numFmtId="0" fontId="1" fillId="0" borderId="0" xfId="0" applyFont="1" applyBorder="1" applyAlignment="1">
      <alignment horizontal="left"/>
    </xf>
    <xf numFmtId="175" fontId="1" fillId="0" borderId="0" xfId="0" applyNumberFormat="1" applyFont="1" applyFill="1" applyBorder="1" applyAlignment="1">
      <alignment horizontal="center"/>
    </xf>
    <xf numFmtId="174" fontId="6" fillId="0" borderId="0" xfId="0" applyNumberFormat="1" applyFont="1" applyFill="1" applyAlignment="1">
      <alignment horizontal="left"/>
    </xf>
    <xf numFmtId="0" fontId="1" fillId="0" borderId="0" xfId="0" applyFont="1" applyAlignment="1">
      <alignment horizontal="left"/>
    </xf>
    <xf numFmtId="1" fontId="6" fillId="0" borderId="0" xfId="0" applyNumberFormat="1" applyFont="1" applyFill="1" applyBorder="1"/>
    <xf numFmtId="172" fontId="1" fillId="0" borderId="0" xfId="0" applyNumberFormat="1" applyFont="1"/>
    <xf numFmtId="1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79" fontId="1" fillId="0" borderId="0" xfId="0" applyNumberFormat="1" applyFont="1"/>
    <xf numFmtId="166" fontId="1" fillId="0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right"/>
    </xf>
    <xf numFmtId="176" fontId="1" fillId="0" borderId="0" xfId="0" applyNumberFormat="1" applyFont="1"/>
    <xf numFmtId="171" fontId="1" fillId="0" borderId="0" xfId="0" applyNumberFormat="1" applyFont="1" applyBorder="1" applyAlignment="1" applyProtection="1">
      <alignment horizontal="left"/>
    </xf>
    <xf numFmtId="0" fontId="0" fillId="0" borderId="21" xfId="0" applyBorder="1"/>
    <xf numFmtId="0" fontId="1" fillId="0" borderId="0" xfId="0" applyFont="1" applyAlignment="1">
      <alignment wrapText="1"/>
    </xf>
    <xf numFmtId="167" fontId="1" fillId="0" borderId="0" xfId="0" applyNumberFormat="1" applyFont="1" applyAlignment="1">
      <alignment wrapText="1"/>
    </xf>
    <xf numFmtId="175" fontId="1" fillId="0" borderId="0" xfId="0" applyNumberFormat="1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E0021"/>
      <rgbColor rgb="00008000"/>
      <rgbColor rgb="00000080"/>
      <rgbColor rgb="00808000"/>
      <rgbColor rgb="00800080"/>
      <rgbColor rgb="000084D1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C5000B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66"/>
      <rgbColor rgb="00B3B3B3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HEAT BALANCE</a:t>
            </a:r>
          </a:p>
        </c:rich>
      </c:tx>
      <c:layout>
        <c:manualLayout>
          <c:xMode val="edge"/>
          <c:yMode val="edge"/>
          <c:x val="0.43118324847031297"/>
          <c:y val="2.7777819640087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15064489945071"/>
          <c:y val="0.12654340058262289"/>
          <c:w val="0.88279662592051611"/>
          <c:h val="0.79321107194473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Calculation!$B$531:$B$531</c:f>
              <c:strCache>
                <c:ptCount val="1"/>
              </c:strCache>
            </c:strRef>
          </c:tx>
          <c:spPr>
            <a:solidFill>
              <a:srgbClr val="004586"/>
            </a:solidFill>
            <a:ln w="25400">
              <a:noFill/>
            </a:ln>
          </c:spPr>
          <c:invertIfNegative val="0"/>
          <c:cat>
            <c:strRef>
              <c:f>Calculation!$A$532:$A$535</c:f>
              <c:strCache>
                <c:ptCount val="4"/>
                <c:pt idx="0">
                  <c:v>TOTAL FUEL</c:v>
                </c:pt>
                <c:pt idx="1">
                  <c:v>UNBURNT FUEL</c:v>
                </c:pt>
                <c:pt idx="2">
                  <c:v>FIRE OUTPUT</c:v>
                </c:pt>
                <c:pt idx="3">
                  <c:v>LOST TO CHIMNEY</c:v>
                </c:pt>
              </c:strCache>
            </c:strRef>
          </c:cat>
          <c:val>
            <c:numRef>
              <c:f>Calculation!$B$532:$B$535</c:f>
              <c:numCache>
                <c:formatCode>0.000</c:formatCode>
                <c:ptCount val="4"/>
                <c:pt idx="0">
                  <c:v>18.891208566155907</c:v>
                </c:pt>
                <c:pt idx="1">
                  <c:v>5.3060314175676346</c:v>
                </c:pt>
                <c:pt idx="2">
                  <c:v>12.971245951944324</c:v>
                </c:pt>
                <c:pt idx="3">
                  <c:v>1.9670980768424133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3-4D5F-9B2D-82717767A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7839016"/>
        <c:axId val="1"/>
      </c:barChart>
      <c:catAx>
        <c:axId val="477839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HEAT KILOWATTS</a:t>
                </a:r>
              </a:p>
            </c:rich>
          </c:tx>
          <c:layout>
            <c:manualLayout>
              <c:xMode val="edge"/>
              <c:yMode val="edge"/>
              <c:x val="1.7204319140960118E-2"/>
              <c:y val="0.4182105068035463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839016"/>
        <c:crossesAt val="1"/>
        <c:crossBetween val="between"/>
      </c:valAx>
      <c:spPr>
        <a:noFill/>
        <a:ln w="3175"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HEAT ABSORBED IN:</a:t>
            </a:r>
          </a:p>
        </c:rich>
      </c:tx>
      <c:layout>
        <c:manualLayout>
          <c:xMode val="edge"/>
          <c:yMode val="edge"/>
          <c:x val="0.41088601988040491"/>
          <c:y val="2.7777819640087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715095298271209E-2"/>
          <c:y val="0.12654340058262289"/>
          <c:w val="0.89434411599942676"/>
          <c:h val="0.834877801404865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Calculation!$B$537:$B$537</c:f>
              <c:strCache>
                <c:ptCount val="1"/>
              </c:strCache>
            </c:strRef>
          </c:tx>
          <c:spPr>
            <a:solidFill>
              <a:srgbClr val="004586"/>
            </a:solidFill>
            <a:ln w="25400">
              <a:noFill/>
            </a:ln>
          </c:spPr>
          <c:invertIfNegative val="0"/>
          <c:cat>
            <c:strRef>
              <c:f>Calculation!$A$538:$A$542</c:f>
              <c:strCache>
                <c:ptCount val="5"/>
                <c:pt idx="0">
                  <c:v>FIREBOX</c:v>
                </c:pt>
                <c:pt idx="1">
                  <c:v>FIRETUBES</c:v>
                </c:pt>
                <c:pt idx="2">
                  <c:v>SUPERHEATER FLUES TO BOILER</c:v>
                </c:pt>
                <c:pt idx="3">
                  <c:v>SUPERHEATER TO STEAM</c:v>
                </c:pt>
                <c:pt idx="4">
                  <c:v>LOSS TO BOILER CASING</c:v>
                </c:pt>
              </c:strCache>
            </c:strRef>
          </c:cat>
          <c:val>
            <c:numRef>
              <c:f>Calculation!$B$538:$B$542</c:f>
              <c:numCache>
                <c:formatCode>0.000</c:formatCode>
                <c:ptCount val="5"/>
                <c:pt idx="0" formatCode="0.00">
                  <c:v>4.9725718173258766</c:v>
                </c:pt>
                <c:pt idx="1">
                  <c:v>4.2647652814813144</c:v>
                </c:pt>
                <c:pt idx="2">
                  <c:v>1.2281694416053712</c:v>
                </c:pt>
                <c:pt idx="3">
                  <c:v>0.60631468188236171</c:v>
                </c:pt>
                <c:pt idx="4">
                  <c:v>-0.76002082605977894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EC-4BDB-BB6E-EFF5F026E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8037584"/>
        <c:axId val="1"/>
      </c:barChart>
      <c:catAx>
        <c:axId val="47803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HEAT ABSORBED KILOWATTS</a:t>
                </a:r>
              </a:p>
            </c:rich>
          </c:tx>
          <c:layout>
            <c:manualLayout>
              <c:xMode val="edge"/>
              <c:yMode val="edge"/>
              <c:x val="1.7075782644380463E-2"/>
              <c:y val="0.3703709285345060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8037584"/>
        <c:crossesAt val="1"/>
        <c:crossBetween val="between"/>
      </c:valAx>
      <c:spPr>
        <a:noFill/>
        <a:ln w="3175"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TEMPERATURE PROFILE &amp; HEAT TRANSFER IN FIRETUBES</a:t>
            </a:r>
          </a:p>
        </c:rich>
      </c:tx>
      <c:layout>
        <c:manualLayout>
          <c:xMode val="edge"/>
          <c:yMode val="edge"/>
          <c:x val="0.24811245123766523"/>
          <c:y val="2.803742582601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614982191147303E-2"/>
          <c:y val="0.12616841621704666"/>
          <c:w val="0.82740108738821405"/>
          <c:h val="0.71651199333137616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Calculation!$B$566:$B$566</c:f>
              <c:strCache>
                <c:ptCount val="1"/>
                <c:pt idx="0">
                  <c:v>Water Temp. Deg. C</c:v>
                </c:pt>
              </c:strCache>
            </c:strRef>
          </c:tx>
          <c:spPr>
            <a:ln w="12700">
              <a:solidFill>
                <a:srgbClr val="004586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004586"/>
              </a:solidFill>
              <a:ln>
                <a:solidFill>
                  <a:srgbClr val="004586"/>
                </a:solidFill>
                <a:prstDash val="solid"/>
              </a:ln>
            </c:spPr>
          </c:marker>
          <c:xVal>
            <c:numRef>
              <c:f>Calculation!$A$567:$A$592</c:f>
              <c:numCache>
                <c:formatCode>0.00_)</c:formatCode>
                <c:ptCount val="26"/>
                <c:pt idx="0">
                  <c:v>0</c:v>
                </c:pt>
                <c:pt idx="1">
                  <c:v>1.2129032258064519E-2</c:v>
                </c:pt>
                <c:pt idx="2">
                  <c:v>2.4258064516129038E-2</c:v>
                </c:pt>
                <c:pt idx="3">
                  <c:v>3.6387096774193557E-2</c:v>
                </c:pt>
                <c:pt idx="4">
                  <c:v>4.8516129032258076E-2</c:v>
                </c:pt>
                <c:pt idx="5">
                  <c:v>6.0645161290322595E-2</c:v>
                </c:pt>
                <c:pt idx="6">
                  <c:v>7.2774193548387114E-2</c:v>
                </c:pt>
                <c:pt idx="7">
                  <c:v>8.4903225806451627E-2</c:v>
                </c:pt>
                <c:pt idx="8">
                  <c:v>9.7032258064516153E-2</c:v>
                </c:pt>
                <c:pt idx="9">
                  <c:v>0.10916129032258068</c:v>
                </c:pt>
                <c:pt idx="10">
                  <c:v>0.1212903225806452</c:v>
                </c:pt>
                <c:pt idx="11">
                  <c:v>0.13341935483870973</c:v>
                </c:pt>
                <c:pt idx="12">
                  <c:v>0.14554838709677426</c:v>
                </c:pt>
                <c:pt idx="13">
                  <c:v>0.15767741935483878</c:v>
                </c:pt>
                <c:pt idx="14">
                  <c:v>0.16980645161290331</c:v>
                </c:pt>
                <c:pt idx="15">
                  <c:v>0.18193548387096783</c:v>
                </c:pt>
                <c:pt idx="16">
                  <c:v>0.19406451612903236</c:v>
                </c:pt>
                <c:pt idx="17">
                  <c:v>0.20619354838709689</c:v>
                </c:pt>
                <c:pt idx="18">
                  <c:v>0.21832258064516141</c:v>
                </c:pt>
                <c:pt idx="19">
                  <c:v>0.23045161290322594</c:v>
                </c:pt>
                <c:pt idx="20">
                  <c:v>0.24258064516129046</c:v>
                </c:pt>
                <c:pt idx="21">
                  <c:v>0.25470967741935496</c:v>
                </c:pt>
                <c:pt idx="22">
                  <c:v>0.26683870967741946</c:v>
                </c:pt>
                <c:pt idx="23">
                  <c:v>0.27896774193548396</c:v>
                </c:pt>
                <c:pt idx="24">
                  <c:v>0.29109677419354846</c:v>
                </c:pt>
                <c:pt idx="25">
                  <c:v>0.30322580645161296</c:v>
                </c:pt>
              </c:numCache>
            </c:numRef>
          </c:xVal>
          <c:yVal>
            <c:numRef>
              <c:f>Calculation!$B$567:$B$592</c:f>
              <c:numCache>
                <c:formatCode>0.000E+00</c:formatCode>
                <c:ptCount val="26"/>
                <c:pt idx="0">
                  <c:v>161.00127538118977</c:v>
                </c:pt>
                <c:pt idx="1">
                  <c:v>161.00127538118977</c:v>
                </c:pt>
                <c:pt idx="2">
                  <c:v>161.00127538118977</c:v>
                </c:pt>
                <c:pt idx="3">
                  <c:v>161.00127538118977</c:v>
                </c:pt>
                <c:pt idx="4">
                  <c:v>161.00127538118977</c:v>
                </c:pt>
                <c:pt idx="5">
                  <c:v>161.00127538118977</c:v>
                </c:pt>
                <c:pt idx="6">
                  <c:v>161.00127538118977</c:v>
                </c:pt>
                <c:pt idx="7">
                  <c:v>161.00127538118977</c:v>
                </c:pt>
                <c:pt idx="8">
                  <c:v>161.00127538118977</c:v>
                </c:pt>
                <c:pt idx="9">
                  <c:v>161.00127538118977</c:v>
                </c:pt>
                <c:pt idx="10">
                  <c:v>161.00127538118977</c:v>
                </c:pt>
                <c:pt idx="11">
                  <c:v>161.00127538118977</c:v>
                </c:pt>
                <c:pt idx="12">
                  <c:v>161.00127538118977</c:v>
                </c:pt>
                <c:pt idx="13">
                  <c:v>161.00127538118977</c:v>
                </c:pt>
                <c:pt idx="14">
                  <c:v>161.00127538118977</c:v>
                </c:pt>
                <c:pt idx="15">
                  <c:v>161.00127538118977</c:v>
                </c:pt>
                <c:pt idx="16">
                  <c:v>161.00127538118977</c:v>
                </c:pt>
                <c:pt idx="17">
                  <c:v>161.00127538118977</c:v>
                </c:pt>
                <c:pt idx="18">
                  <c:v>161.00127538118977</c:v>
                </c:pt>
                <c:pt idx="19">
                  <c:v>161.00127538118977</c:v>
                </c:pt>
                <c:pt idx="20">
                  <c:v>161.00127538118977</c:v>
                </c:pt>
                <c:pt idx="21">
                  <c:v>161.00127538118977</c:v>
                </c:pt>
                <c:pt idx="22">
                  <c:v>161.00127538118977</c:v>
                </c:pt>
                <c:pt idx="23">
                  <c:v>161.00127538118977</c:v>
                </c:pt>
                <c:pt idx="24">
                  <c:v>161.00127538118977</c:v>
                </c:pt>
                <c:pt idx="25">
                  <c:v>161.00127538118977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5D-4B2F-9E11-A9D3907A3344}"/>
            </c:ext>
          </c:extLst>
        </c:ser>
        <c:ser>
          <c:idx val="1"/>
          <c:order val="1"/>
          <c:tx>
            <c:strRef>
              <c:f>Calculation!$C$566:$C$566</c:f>
              <c:strCache>
                <c:ptCount val="1"/>
                <c:pt idx="0">
                  <c:v>Flue Gas Temp Deg. C</c:v>
                </c:pt>
              </c:strCache>
            </c:strRef>
          </c:tx>
          <c:spPr>
            <a:ln w="12700">
              <a:solidFill>
                <a:srgbClr val="666666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666666"/>
              </a:solidFill>
              <a:ln>
                <a:solidFill>
                  <a:srgbClr val="666666"/>
                </a:solidFill>
                <a:prstDash val="solid"/>
              </a:ln>
            </c:spPr>
          </c:marker>
          <c:xVal>
            <c:numRef>
              <c:f>Calculation!$A$567:$A$592</c:f>
              <c:numCache>
                <c:formatCode>0.00_)</c:formatCode>
                <c:ptCount val="26"/>
                <c:pt idx="0">
                  <c:v>0</c:v>
                </c:pt>
                <c:pt idx="1">
                  <c:v>1.2129032258064519E-2</c:v>
                </c:pt>
                <c:pt idx="2">
                  <c:v>2.4258064516129038E-2</c:v>
                </c:pt>
                <c:pt idx="3">
                  <c:v>3.6387096774193557E-2</c:v>
                </c:pt>
                <c:pt idx="4">
                  <c:v>4.8516129032258076E-2</c:v>
                </c:pt>
                <c:pt idx="5">
                  <c:v>6.0645161290322595E-2</c:v>
                </c:pt>
                <c:pt idx="6">
                  <c:v>7.2774193548387114E-2</c:v>
                </c:pt>
                <c:pt idx="7">
                  <c:v>8.4903225806451627E-2</c:v>
                </c:pt>
                <c:pt idx="8">
                  <c:v>9.7032258064516153E-2</c:v>
                </c:pt>
                <c:pt idx="9">
                  <c:v>0.10916129032258068</c:v>
                </c:pt>
                <c:pt idx="10">
                  <c:v>0.1212903225806452</c:v>
                </c:pt>
                <c:pt idx="11">
                  <c:v>0.13341935483870973</c:v>
                </c:pt>
                <c:pt idx="12">
                  <c:v>0.14554838709677426</c:v>
                </c:pt>
                <c:pt idx="13">
                  <c:v>0.15767741935483878</c:v>
                </c:pt>
                <c:pt idx="14">
                  <c:v>0.16980645161290331</c:v>
                </c:pt>
                <c:pt idx="15">
                  <c:v>0.18193548387096783</c:v>
                </c:pt>
                <c:pt idx="16">
                  <c:v>0.19406451612903236</c:v>
                </c:pt>
                <c:pt idx="17">
                  <c:v>0.20619354838709689</c:v>
                </c:pt>
                <c:pt idx="18">
                  <c:v>0.21832258064516141</c:v>
                </c:pt>
                <c:pt idx="19">
                  <c:v>0.23045161290322594</c:v>
                </c:pt>
                <c:pt idx="20">
                  <c:v>0.24258064516129046</c:v>
                </c:pt>
                <c:pt idx="21">
                  <c:v>0.25470967741935496</c:v>
                </c:pt>
                <c:pt idx="22">
                  <c:v>0.26683870967741946</c:v>
                </c:pt>
                <c:pt idx="23">
                  <c:v>0.27896774193548396</c:v>
                </c:pt>
                <c:pt idx="24">
                  <c:v>0.29109677419354846</c:v>
                </c:pt>
                <c:pt idx="25">
                  <c:v>0.30322580645161296</c:v>
                </c:pt>
              </c:numCache>
            </c:numRef>
          </c:xVal>
          <c:yVal>
            <c:numRef>
              <c:f>Calculation!$C$567:$C$592</c:f>
              <c:numCache>
                <c:formatCode>0.00_)</c:formatCode>
                <c:ptCount val="26"/>
                <c:pt idx="0">
                  <c:v>1034.2609350901587</c:v>
                </c:pt>
                <c:pt idx="1">
                  <c:v>800.97252465481756</c:v>
                </c:pt>
                <c:pt idx="2">
                  <c:v>705.05481037176355</c:v>
                </c:pt>
                <c:pt idx="3">
                  <c:v>639.57002219004096</c:v>
                </c:pt>
                <c:pt idx="4">
                  <c:v>589.91463482235565</c:v>
                </c:pt>
                <c:pt idx="5">
                  <c:v>550.17549789447753</c:v>
                </c:pt>
                <c:pt idx="6">
                  <c:v>517.27775357842904</c:v>
                </c:pt>
                <c:pt idx="7">
                  <c:v>489.3948810870429</c:v>
                </c:pt>
                <c:pt idx="8">
                  <c:v>465.34596035380866</c:v>
                </c:pt>
                <c:pt idx="9">
                  <c:v>444.32080991267253</c:v>
                </c:pt>
                <c:pt idx="10">
                  <c:v>425.73851667822453</c:v>
                </c:pt>
                <c:pt idx="11">
                  <c:v>409.16804417472406</c:v>
                </c:pt>
                <c:pt idx="12">
                  <c:v>394.28067151269687</c:v>
                </c:pt>
                <c:pt idx="13">
                  <c:v>380.82000212302148</c:v>
                </c:pt>
                <c:pt idx="14">
                  <c:v>368.58225167775026</c:v>
                </c:pt>
                <c:pt idx="15">
                  <c:v>357.40284079229804</c:v>
                </c:pt>
                <c:pt idx="16">
                  <c:v>347.14700937885141</c:v>
                </c:pt>
                <c:pt idx="17">
                  <c:v>337.70308261544972</c:v>
                </c:pt>
                <c:pt idx="18">
                  <c:v>328.97753547763904</c:v>
                </c:pt>
                <c:pt idx="19">
                  <c:v>320.89130755812869</c:v>
                </c:pt>
                <c:pt idx="20">
                  <c:v>313.37700593846</c:v>
                </c:pt>
                <c:pt idx="21">
                  <c:v>306.32075340436222</c:v>
                </c:pt>
                <c:pt idx="22">
                  <c:v>299.64268957698215</c:v>
                </c:pt>
                <c:pt idx="23">
                  <c:v>293.31794256444306</c:v>
                </c:pt>
                <c:pt idx="24">
                  <c:v>287.32369312398242</c:v>
                </c:pt>
                <c:pt idx="25">
                  <c:v>281.63896657211239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5D-4B2F-9E11-A9D3907A3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190576"/>
        <c:axId val="1"/>
      </c:scatterChart>
      <c:scatterChart>
        <c:scatterStyle val="lineMarker"/>
        <c:varyColors val="0"/>
        <c:ser>
          <c:idx val="0"/>
          <c:order val="2"/>
          <c:tx>
            <c:strRef>
              <c:f>Calculation!$D$566:$D$566</c:f>
              <c:strCache>
                <c:ptCount val="1"/>
                <c:pt idx="0">
                  <c:v>Total heat transferred Watts</c:v>
                </c:pt>
              </c:strCache>
            </c:strRef>
          </c:tx>
          <c:spPr>
            <a:ln w="12700">
              <a:solidFill>
                <a:srgbClr val="7E0021"/>
              </a:solidFill>
              <a:prstDash val="solid"/>
            </a:ln>
          </c:spPr>
          <c:marker>
            <c:symbol val="dash"/>
            <c:size val="2"/>
            <c:spPr>
              <a:noFill/>
              <a:ln>
                <a:solidFill>
                  <a:srgbClr val="7E0021"/>
                </a:solidFill>
                <a:prstDash val="solid"/>
              </a:ln>
            </c:spPr>
          </c:marker>
          <c:xVal>
            <c:numRef>
              <c:f>Calculation!$A$567:$A$592</c:f>
              <c:numCache>
                <c:formatCode>0.00_)</c:formatCode>
                <c:ptCount val="26"/>
                <c:pt idx="0">
                  <c:v>0</c:v>
                </c:pt>
                <c:pt idx="1">
                  <c:v>1.2129032258064519E-2</c:v>
                </c:pt>
                <c:pt idx="2">
                  <c:v>2.4258064516129038E-2</c:v>
                </c:pt>
                <c:pt idx="3">
                  <c:v>3.6387096774193557E-2</c:v>
                </c:pt>
                <c:pt idx="4">
                  <c:v>4.8516129032258076E-2</c:v>
                </c:pt>
                <c:pt idx="5">
                  <c:v>6.0645161290322595E-2</c:v>
                </c:pt>
                <c:pt idx="6">
                  <c:v>7.2774193548387114E-2</c:v>
                </c:pt>
                <c:pt idx="7">
                  <c:v>8.4903225806451627E-2</c:v>
                </c:pt>
                <c:pt idx="8">
                  <c:v>9.7032258064516153E-2</c:v>
                </c:pt>
                <c:pt idx="9">
                  <c:v>0.10916129032258068</c:v>
                </c:pt>
                <c:pt idx="10">
                  <c:v>0.1212903225806452</c:v>
                </c:pt>
                <c:pt idx="11">
                  <c:v>0.13341935483870973</c:v>
                </c:pt>
                <c:pt idx="12">
                  <c:v>0.14554838709677426</c:v>
                </c:pt>
                <c:pt idx="13">
                  <c:v>0.15767741935483878</c:v>
                </c:pt>
                <c:pt idx="14">
                  <c:v>0.16980645161290331</c:v>
                </c:pt>
                <c:pt idx="15">
                  <c:v>0.18193548387096783</c:v>
                </c:pt>
                <c:pt idx="16">
                  <c:v>0.19406451612903236</c:v>
                </c:pt>
                <c:pt idx="17">
                  <c:v>0.20619354838709689</c:v>
                </c:pt>
                <c:pt idx="18">
                  <c:v>0.21832258064516141</c:v>
                </c:pt>
                <c:pt idx="19">
                  <c:v>0.23045161290322594</c:v>
                </c:pt>
                <c:pt idx="20">
                  <c:v>0.24258064516129046</c:v>
                </c:pt>
                <c:pt idx="21">
                  <c:v>0.25470967741935496</c:v>
                </c:pt>
                <c:pt idx="22">
                  <c:v>0.26683870967741946</c:v>
                </c:pt>
                <c:pt idx="23">
                  <c:v>0.27896774193548396</c:v>
                </c:pt>
                <c:pt idx="24">
                  <c:v>0.29109677419354846</c:v>
                </c:pt>
                <c:pt idx="25">
                  <c:v>0.30322580645161296</c:v>
                </c:pt>
              </c:numCache>
            </c:numRef>
          </c:xVal>
          <c:yVal>
            <c:numRef>
              <c:f>Calculation!$D$567:$D$592</c:f>
              <c:numCache>
                <c:formatCode>0.000E+00</c:formatCode>
                <c:ptCount val="26"/>
                <c:pt idx="0">
                  <c:v>0</c:v>
                </c:pt>
                <c:pt idx="1">
                  <c:v>50.84380671908584</c:v>
                </c:pt>
                <c:pt idx="2">
                  <c:v>71.748495969800985</c:v>
                </c:pt>
                <c:pt idx="3">
                  <c:v>86.02051191409322</c:v>
                </c:pt>
                <c:pt idx="4">
                  <c:v>96.842605104117652</c:v>
                </c:pt>
                <c:pt idx="5">
                  <c:v>105.50351111901087</c:v>
                </c:pt>
                <c:pt idx="6">
                  <c:v>112.67337673890059</c:v>
                </c:pt>
                <c:pt idx="7">
                  <c:v>118.75028118983077</c:v>
                </c:pt>
                <c:pt idx="8">
                  <c:v>123.99159890159116</c:v>
                </c:pt>
                <c:pt idx="9">
                  <c:v>128.57390405457309</c:v>
                </c:pt>
                <c:pt idx="10">
                  <c:v>132.62380316377687</c:v>
                </c:pt>
                <c:pt idx="11">
                  <c:v>136.23523803805844</c:v>
                </c:pt>
                <c:pt idx="12">
                  <c:v>139.47985141928299</c:v>
                </c:pt>
                <c:pt idx="13">
                  <c:v>142.41352339844829</c:v>
                </c:pt>
                <c:pt idx="14">
                  <c:v>145.08066754484912</c:v>
                </c:pt>
                <c:pt idx="15">
                  <c:v>147.5171529460419</c:v>
                </c:pt>
                <c:pt idx="16">
                  <c:v>149.75234975310033</c:v>
                </c:pt>
                <c:pt idx="17">
                  <c:v>151.81059682217486</c:v>
                </c:pt>
                <c:pt idx="18">
                  <c:v>153.71227737015082</c:v>
                </c:pt>
                <c:pt idx="19">
                  <c:v>155.47462213755199</c:v>
                </c:pt>
                <c:pt idx="20">
                  <c:v>157.11231900584644</c:v>
                </c:pt>
                <c:pt idx="21">
                  <c:v>158.65018682934968</c:v>
                </c:pt>
                <c:pt idx="22">
                  <c:v>160.10563069757879</c:v>
                </c:pt>
                <c:pt idx="23">
                  <c:v>161.48407128985923</c:v>
                </c:pt>
                <c:pt idx="24">
                  <c:v>162.79048192298083</c:v>
                </c:pt>
                <c:pt idx="25">
                  <c:v>164.02943390312751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5D-4B2F-9E11-A9D3907A3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400190576"/>
        <c:scaling>
          <c:orientation val="minMax"/>
        </c:scaling>
        <c:delete val="0"/>
        <c:axPos val="b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DISTANCE FROM FIREBOX TUBEPLATE</a:t>
                </a:r>
              </a:p>
            </c:rich>
          </c:tx>
          <c:layout>
            <c:manualLayout>
              <c:xMode val="edge"/>
              <c:yMode val="edge"/>
              <c:x val="0.3451999321567516"/>
              <c:y val="0.89096708735988517"/>
            </c:manualLayout>
          </c:layout>
          <c:overlay val="0"/>
          <c:spPr>
            <a:noFill/>
            <a:ln w="25400">
              <a:noFill/>
            </a:ln>
          </c:spPr>
        </c:title>
        <c:numFmt formatCode="0.00_)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TEMPERATURE DEG. C</a:t>
                </a:r>
              </a:p>
            </c:rich>
          </c:tx>
          <c:layout>
            <c:manualLayout>
              <c:xMode val="edge"/>
              <c:yMode val="edge"/>
              <c:x val="1.7259996607837582E-2"/>
              <c:y val="0.348910188057017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190576"/>
        <c:crossesAt val="0"/>
        <c:crossBetween val="midCat"/>
      </c:valAx>
      <c:valAx>
        <c:axId val="3"/>
        <c:scaling>
          <c:orientation val="minMax"/>
        </c:scaling>
        <c:delete val="0"/>
        <c:axPos val="t"/>
        <c:numFmt formatCode="0.00_)" sourceLinked="1"/>
        <c:majorTickMark val="none"/>
        <c:minorTickMark val="none"/>
        <c:tickLblPos val="none"/>
        <c:spPr>
          <a:ln w="3175">
            <a:solidFill>
              <a:srgbClr val="B3B3B3"/>
            </a:solidFill>
            <a:prstDash val="solid"/>
          </a:ln>
        </c:spPr>
        <c:crossAx val="4"/>
        <c:crossesAt val="0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HEAT TRANSFERRED WATTS PER TUBE</a:t>
                </a:r>
              </a:p>
            </c:rich>
          </c:tx>
          <c:layout>
            <c:manualLayout>
              <c:xMode val="edge"/>
              <c:yMode val="edge"/>
              <c:x val="0.95361481258302638"/>
              <c:y val="0.252336832434093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 w="3175">
          <a:solidFill>
            <a:srgbClr val="B3B3B3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417496183817279"/>
          <c:y val="0.95327247808435267"/>
          <c:w val="0.6192023783061732"/>
          <c:h val="3.738323443468049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SUPERHEATER TEMPERATURES</a:t>
            </a:r>
          </a:p>
        </c:rich>
      </c:tx>
      <c:layout>
        <c:manualLayout>
          <c:xMode val="edge"/>
          <c:yMode val="edge"/>
          <c:x val="0.36179314477781105"/>
          <c:y val="2.7565084226646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303130577521853E-2"/>
          <c:y val="0.12557427258805512"/>
          <c:w val="0.8954113524147006"/>
          <c:h val="0.68453292496171514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Calculation!$B$596:$B$598</c:f>
              <c:strCache>
                <c:ptCount val="3"/>
                <c:pt idx="0">
                  <c:v>Radiant</c:v>
                </c:pt>
                <c:pt idx="1">
                  <c:v>Wet Side</c:v>
                </c:pt>
                <c:pt idx="2">
                  <c:v>Deg. C</c:v>
                </c:pt>
              </c:strCache>
            </c:strRef>
          </c:tx>
          <c:spPr>
            <a:ln w="25400">
              <a:solidFill>
                <a:srgbClr val="660066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660066"/>
              </a:solidFill>
              <a:ln>
                <a:solidFill>
                  <a:srgbClr val="660066"/>
                </a:solidFill>
                <a:prstDash val="solid"/>
              </a:ln>
            </c:spPr>
          </c:marker>
          <c:xVal>
            <c:numRef>
              <c:f>Calculation!$A$599:$A$629</c:f>
              <c:numCache>
                <c:formatCode>0.000</c:formatCode>
                <c:ptCount val="31"/>
                <c:pt idx="0">
                  <c:v>-1E-3</c:v>
                </c:pt>
                <c:pt idx="1">
                  <c:v>-8.0000000000002205E-4</c:v>
                </c:pt>
                <c:pt idx="2">
                  <c:v>-6.0000000000004407E-4</c:v>
                </c:pt>
                <c:pt idx="3">
                  <c:v>-4.000000000000661E-4</c:v>
                </c:pt>
                <c:pt idx="4">
                  <c:v>-2.0000000000008813E-4</c:v>
                </c:pt>
                <c:pt idx="5">
                  <c:v>0</c:v>
                </c:pt>
                <c:pt idx="6">
                  <c:v>1.2129032258064519E-2</c:v>
                </c:pt>
                <c:pt idx="7">
                  <c:v>2.4258064516129038E-2</c:v>
                </c:pt>
                <c:pt idx="8">
                  <c:v>3.6387096774193557E-2</c:v>
                </c:pt>
                <c:pt idx="9">
                  <c:v>4.8516129032258076E-2</c:v>
                </c:pt>
                <c:pt idx="10">
                  <c:v>6.0645161290322595E-2</c:v>
                </c:pt>
                <c:pt idx="11">
                  <c:v>7.2774193548387114E-2</c:v>
                </c:pt>
                <c:pt idx="12">
                  <c:v>8.4903225806451627E-2</c:v>
                </c:pt>
                <c:pt idx="13">
                  <c:v>9.7032258064516153E-2</c:v>
                </c:pt>
                <c:pt idx="14">
                  <c:v>0.10916129032258068</c:v>
                </c:pt>
                <c:pt idx="15">
                  <c:v>0.1212903225806452</c:v>
                </c:pt>
                <c:pt idx="16">
                  <c:v>0.13341935483870973</c:v>
                </c:pt>
                <c:pt idx="17">
                  <c:v>0.14554838709677426</c:v>
                </c:pt>
                <c:pt idx="18">
                  <c:v>0.15767741935483878</c:v>
                </c:pt>
                <c:pt idx="19">
                  <c:v>0.16980645161290331</c:v>
                </c:pt>
                <c:pt idx="20">
                  <c:v>0.18193548387096783</c:v>
                </c:pt>
                <c:pt idx="21">
                  <c:v>0.19406451612903236</c:v>
                </c:pt>
                <c:pt idx="22">
                  <c:v>0.20619354838709689</c:v>
                </c:pt>
                <c:pt idx="23">
                  <c:v>0.21832258064516141</c:v>
                </c:pt>
                <c:pt idx="24">
                  <c:v>0.23045161290322594</c:v>
                </c:pt>
                <c:pt idx="25">
                  <c:v>0.24258064516129046</c:v>
                </c:pt>
                <c:pt idx="26">
                  <c:v>0.25470967741935496</c:v>
                </c:pt>
                <c:pt idx="27">
                  <c:v>0.26683870967741946</c:v>
                </c:pt>
                <c:pt idx="28">
                  <c:v>0.27896774193548396</c:v>
                </c:pt>
                <c:pt idx="29">
                  <c:v>0.29109677419354846</c:v>
                </c:pt>
                <c:pt idx="30">
                  <c:v>0.30322580645161296</c:v>
                </c:pt>
              </c:numCache>
            </c:numRef>
          </c:xVal>
          <c:yVal>
            <c:numRef>
              <c:f>Calculation!$B$599:$B$629</c:f>
              <c:numCache>
                <c:formatCode>0.0</c:formatCode>
                <c:ptCount val="31"/>
                <c:pt idx="0">
                  <c:v>196.3160779008841</c:v>
                </c:pt>
                <c:pt idx="1">
                  <c:v>196.27413256737859</c:v>
                </c:pt>
                <c:pt idx="2">
                  <c:v>196.23218693304835</c:v>
                </c:pt>
                <c:pt idx="3">
                  <c:v>196.19024099795561</c:v>
                </c:pt>
                <c:pt idx="4">
                  <c:v>196.14829476376994</c:v>
                </c:pt>
                <c:pt idx="5">
                  <c:v>196.13601383335009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72-4EDE-BB45-4500A68D843E}"/>
            </c:ext>
          </c:extLst>
        </c:ser>
        <c:ser>
          <c:idx val="1"/>
          <c:order val="1"/>
          <c:tx>
            <c:strRef>
              <c:f>Calculation!$C$596:$C$598</c:f>
              <c:strCache>
                <c:ptCount val="3"/>
                <c:pt idx="0">
                  <c:v>Radiant</c:v>
                </c:pt>
                <c:pt idx="1">
                  <c:v>Dry Side</c:v>
                </c:pt>
                <c:pt idx="2">
                  <c:v>Deg. C</c:v>
                </c:pt>
              </c:strCache>
            </c:strRef>
          </c:tx>
          <c:spPr>
            <a:ln w="25400">
              <a:solidFill>
                <a:srgbClr val="FF420E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FF420E"/>
              </a:solidFill>
              <a:ln>
                <a:solidFill>
                  <a:srgbClr val="FF420E"/>
                </a:solidFill>
                <a:prstDash val="solid"/>
              </a:ln>
            </c:spPr>
          </c:marker>
          <c:xVal>
            <c:numRef>
              <c:f>Calculation!$A$599:$A$629</c:f>
              <c:numCache>
                <c:formatCode>0.000</c:formatCode>
                <c:ptCount val="31"/>
                <c:pt idx="0">
                  <c:v>-1E-3</c:v>
                </c:pt>
                <c:pt idx="1">
                  <c:v>-8.0000000000002205E-4</c:v>
                </c:pt>
                <c:pt idx="2">
                  <c:v>-6.0000000000004407E-4</c:v>
                </c:pt>
                <c:pt idx="3">
                  <c:v>-4.000000000000661E-4</c:v>
                </c:pt>
                <c:pt idx="4">
                  <c:v>-2.0000000000008813E-4</c:v>
                </c:pt>
                <c:pt idx="5">
                  <c:v>0</c:v>
                </c:pt>
                <c:pt idx="6">
                  <c:v>1.2129032258064519E-2</c:v>
                </c:pt>
                <c:pt idx="7">
                  <c:v>2.4258064516129038E-2</c:v>
                </c:pt>
                <c:pt idx="8">
                  <c:v>3.6387096774193557E-2</c:v>
                </c:pt>
                <c:pt idx="9">
                  <c:v>4.8516129032258076E-2</c:v>
                </c:pt>
                <c:pt idx="10">
                  <c:v>6.0645161290322595E-2</c:v>
                </c:pt>
                <c:pt idx="11">
                  <c:v>7.2774193548387114E-2</c:v>
                </c:pt>
                <c:pt idx="12">
                  <c:v>8.4903225806451627E-2</c:v>
                </c:pt>
                <c:pt idx="13">
                  <c:v>9.7032258064516153E-2</c:v>
                </c:pt>
                <c:pt idx="14">
                  <c:v>0.10916129032258068</c:v>
                </c:pt>
                <c:pt idx="15">
                  <c:v>0.1212903225806452</c:v>
                </c:pt>
                <c:pt idx="16">
                  <c:v>0.13341935483870973</c:v>
                </c:pt>
                <c:pt idx="17">
                  <c:v>0.14554838709677426</c:v>
                </c:pt>
                <c:pt idx="18">
                  <c:v>0.15767741935483878</c:v>
                </c:pt>
                <c:pt idx="19">
                  <c:v>0.16980645161290331</c:v>
                </c:pt>
                <c:pt idx="20">
                  <c:v>0.18193548387096783</c:v>
                </c:pt>
                <c:pt idx="21">
                  <c:v>0.19406451612903236</c:v>
                </c:pt>
                <c:pt idx="22">
                  <c:v>0.20619354838709689</c:v>
                </c:pt>
                <c:pt idx="23">
                  <c:v>0.21832258064516141</c:v>
                </c:pt>
                <c:pt idx="24">
                  <c:v>0.23045161290322594</c:v>
                </c:pt>
                <c:pt idx="25">
                  <c:v>0.24258064516129046</c:v>
                </c:pt>
                <c:pt idx="26">
                  <c:v>0.25470967741935496</c:v>
                </c:pt>
                <c:pt idx="27">
                  <c:v>0.26683870967741946</c:v>
                </c:pt>
                <c:pt idx="28">
                  <c:v>0.27896774193548396</c:v>
                </c:pt>
                <c:pt idx="29">
                  <c:v>0.29109677419354846</c:v>
                </c:pt>
                <c:pt idx="30">
                  <c:v>0.30322580645161296</c:v>
                </c:pt>
              </c:numCache>
            </c:numRef>
          </c:xVal>
          <c:yVal>
            <c:numRef>
              <c:f>Calculation!$C$599:$C$629</c:f>
              <c:numCache>
                <c:formatCode>0.0</c:formatCode>
                <c:ptCount val="31"/>
                <c:pt idx="0">
                  <c:v>196.3160779008841</c:v>
                </c:pt>
                <c:pt idx="1">
                  <c:v>196.33910420948555</c:v>
                </c:pt>
                <c:pt idx="2">
                  <c:v>196.38105202334057</c:v>
                </c:pt>
                <c:pt idx="3">
                  <c:v>196.42299953721474</c:v>
                </c:pt>
                <c:pt idx="4">
                  <c:v>196.46494675001912</c:v>
                </c:pt>
                <c:pt idx="5">
                  <c:v>196.50689366169215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72-4EDE-BB45-4500A68D843E}"/>
            </c:ext>
          </c:extLst>
        </c:ser>
        <c:ser>
          <c:idx val="2"/>
          <c:order val="2"/>
          <c:tx>
            <c:strRef>
              <c:f>Calculation!$D$596:$D$598</c:f>
              <c:strCache>
                <c:ptCount val="3"/>
                <c:pt idx="0">
                  <c:v>Convective</c:v>
                </c:pt>
                <c:pt idx="1">
                  <c:v>Wet Side</c:v>
                </c:pt>
                <c:pt idx="2">
                  <c:v>Deg. C</c:v>
                </c:pt>
              </c:strCache>
            </c:strRef>
          </c:tx>
          <c:spPr>
            <a:ln w="12700">
              <a:solidFill>
                <a:srgbClr val="0084D1"/>
              </a:solidFill>
              <a:prstDash val="solid"/>
            </a:ln>
          </c:spPr>
          <c:marker>
            <c:symbol val="dash"/>
            <c:size val="2"/>
            <c:spPr>
              <a:noFill/>
              <a:ln>
                <a:solidFill>
                  <a:srgbClr val="0084D1"/>
                </a:solidFill>
                <a:prstDash val="solid"/>
              </a:ln>
            </c:spPr>
          </c:marker>
          <c:xVal>
            <c:numRef>
              <c:f>Calculation!$A$599:$A$629</c:f>
              <c:numCache>
                <c:formatCode>0.000</c:formatCode>
                <c:ptCount val="31"/>
                <c:pt idx="0">
                  <c:v>-1E-3</c:v>
                </c:pt>
                <c:pt idx="1">
                  <c:v>-8.0000000000002205E-4</c:v>
                </c:pt>
                <c:pt idx="2">
                  <c:v>-6.0000000000004407E-4</c:v>
                </c:pt>
                <c:pt idx="3">
                  <c:v>-4.000000000000661E-4</c:v>
                </c:pt>
                <c:pt idx="4">
                  <c:v>-2.0000000000008813E-4</c:v>
                </c:pt>
                <c:pt idx="5">
                  <c:v>0</c:v>
                </c:pt>
                <c:pt idx="6">
                  <c:v>1.2129032258064519E-2</c:v>
                </c:pt>
                <c:pt idx="7">
                  <c:v>2.4258064516129038E-2</c:v>
                </c:pt>
                <c:pt idx="8">
                  <c:v>3.6387096774193557E-2</c:v>
                </c:pt>
                <c:pt idx="9">
                  <c:v>4.8516129032258076E-2</c:v>
                </c:pt>
                <c:pt idx="10">
                  <c:v>6.0645161290322595E-2</c:v>
                </c:pt>
                <c:pt idx="11">
                  <c:v>7.2774193548387114E-2</c:v>
                </c:pt>
                <c:pt idx="12">
                  <c:v>8.4903225806451627E-2</c:v>
                </c:pt>
                <c:pt idx="13">
                  <c:v>9.7032258064516153E-2</c:v>
                </c:pt>
                <c:pt idx="14">
                  <c:v>0.10916129032258068</c:v>
                </c:pt>
                <c:pt idx="15">
                  <c:v>0.1212903225806452</c:v>
                </c:pt>
                <c:pt idx="16">
                  <c:v>0.13341935483870973</c:v>
                </c:pt>
                <c:pt idx="17">
                  <c:v>0.14554838709677426</c:v>
                </c:pt>
                <c:pt idx="18">
                  <c:v>0.15767741935483878</c:v>
                </c:pt>
                <c:pt idx="19">
                  <c:v>0.16980645161290331</c:v>
                </c:pt>
                <c:pt idx="20">
                  <c:v>0.18193548387096783</c:v>
                </c:pt>
                <c:pt idx="21">
                  <c:v>0.19406451612903236</c:v>
                </c:pt>
                <c:pt idx="22">
                  <c:v>0.20619354838709689</c:v>
                </c:pt>
                <c:pt idx="23">
                  <c:v>0.21832258064516141</c:v>
                </c:pt>
                <c:pt idx="24">
                  <c:v>0.23045161290322594</c:v>
                </c:pt>
                <c:pt idx="25">
                  <c:v>0.24258064516129046</c:v>
                </c:pt>
                <c:pt idx="26">
                  <c:v>0.25470967741935496</c:v>
                </c:pt>
                <c:pt idx="27">
                  <c:v>0.26683870967741946</c:v>
                </c:pt>
                <c:pt idx="28">
                  <c:v>0.27896774193548396</c:v>
                </c:pt>
                <c:pt idx="29">
                  <c:v>0.29109677419354846</c:v>
                </c:pt>
                <c:pt idx="30">
                  <c:v>0.30322580645161296</c:v>
                </c:pt>
              </c:numCache>
            </c:numRef>
          </c:xVal>
          <c:yVal>
            <c:numRef>
              <c:f>Calculation!$D$599:$D$629</c:f>
              <c:numCache>
                <c:formatCode>0.000</c:formatCode>
                <c:ptCount val="31"/>
                <c:pt idx="5" formatCode="0">
                  <c:v>196.13601383335009</c:v>
                </c:pt>
                <c:pt idx="6" formatCode="0">
                  <c:v>182.16644339189074</c:v>
                </c:pt>
                <c:pt idx="7" formatCode="0">
                  <c:v>175.90555295666502</c:v>
                </c:pt>
                <c:pt idx="8" formatCode="0">
                  <c:v>171.58297160406829</c:v>
                </c:pt>
                <c:pt idx="9" formatCode="0">
                  <c:v>168.29870162172733</c:v>
                </c:pt>
                <c:pt idx="10" formatCode="0">
                  <c:v>165.6736207737755</c:v>
                </c:pt>
                <c:pt idx="11" formatCode="0">
                  <c:v>163.52985139725254</c:v>
                </c:pt>
                <c:pt idx="12" formatCode="0">
                  <c:v>161.7297245813767</c:v>
                </c:pt>
                <c:pt idx="13" formatCode="0">
                  <c:v>160.19034164958043</c:v>
                </c:pt>
                <c:pt idx="14" formatCode="0">
                  <c:v>158.85489741145915</c:v>
                </c:pt>
                <c:pt idx="15" formatCode="0">
                  <c:v>157.66146859030943</c:v>
                </c:pt>
                <c:pt idx="16" formatCode="0">
                  <c:v>156.5753419771612</c:v>
                </c:pt>
                <c:pt idx="17" formatCode="0">
                  <c:v>155.58329087047193</c:v>
                </c:pt>
                <c:pt idx="18" formatCode="0">
                  <c:v>154.67413397640289</c:v>
                </c:pt>
                <c:pt idx="19" formatCode="0">
                  <c:v>153.83834812345441</c:v>
                </c:pt>
                <c:pt idx="20" formatCode="0">
                  <c:v>153.06776730852005</c:v>
                </c:pt>
                <c:pt idx="21" formatCode="0">
                  <c:v>152.35534562109979</c:v>
                </c:pt>
                <c:pt idx="22" formatCode="0">
                  <c:v>151.69496816550557</c:v>
                </c:pt>
                <c:pt idx="23" formatCode="0">
                  <c:v>151.08129833793737</c:v>
                </c:pt>
                <c:pt idx="24" formatCode="0">
                  <c:v>150.5096525330024</c:v>
                </c:pt>
                <c:pt idx="25" formatCode="0">
                  <c:v>149.97589478520101</c:v>
                </c:pt>
                <c:pt idx="26" formatCode="0">
                  <c:v>149.47634353841676</c:v>
                </c:pt>
                <c:pt idx="27" formatCode="0">
                  <c:v>149.00767808759244</c:v>
                </c:pt>
                <c:pt idx="28" formatCode="0">
                  <c:v>148.56680998829967</c:v>
                </c:pt>
                <c:pt idx="29" formatCode="0">
                  <c:v>148.15054374267177</c:v>
                </c:pt>
                <c:pt idx="30" formatCode="0">
                  <c:v>151.73425743306996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B72-4EDE-BB45-4500A68D843E}"/>
            </c:ext>
          </c:extLst>
        </c:ser>
        <c:ser>
          <c:idx val="3"/>
          <c:order val="3"/>
          <c:tx>
            <c:strRef>
              <c:f>Calculation!$E$596:$E$598</c:f>
              <c:strCache>
                <c:ptCount val="3"/>
                <c:pt idx="0">
                  <c:v>Convective</c:v>
                </c:pt>
                <c:pt idx="1">
                  <c:v>Dry Side</c:v>
                </c:pt>
                <c:pt idx="2">
                  <c:v>Deg. C</c:v>
                </c:pt>
              </c:strCache>
            </c:strRef>
          </c:tx>
          <c:spPr>
            <a:ln w="12700">
              <a:solidFill>
                <a:srgbClr val="C5000B"/>
              </a:solidFill>
              <a:prstDash val="solid"/>
            </a:ln>
          </c:spPr>
          <c:marker>
            <c:symbol val="triangle"/>
            <c:size val="2"/>
            <c:spPr>
              <a:solidFill>
                <a:srgbClr val="C5000B"/>
              </a:solidFill>
              <a:ln>
                <a:solidFill>
                  <a:srgbClr val="C5000B"/>
                </a:solidFill>
                <a:prstDash val="solid"/>
              </a:ln>
            </c:spPr>
          </c:marker>
          <c:xVal>
            <c:numRef>
              <c:f>Calculation!$A$599:$A$629</c:f>
              <c:numCache>
                <c:formatCode>0.000</c:formatCode>
                <c:ptCount val="31"/>
                <c:pt idx="0">
                  <c:v>-1E-3</c:v>
                </c:pt>
                <c:pt idx="1">
                  <c:v>-8.0000000000002205E-4</c:v>
                </c:pt>
                <c:pt idx="2">
                  <c:v>-6.0000000000004407E-4</c:v>
                </c:pt>
                <c:pt idx="3">
                  <c:v>-4.000000000000661E-4</c:v>
                </c:pt>
                <c:pt idx="4">
                  <c:v>-2.0000000000008813E-4</c:v>
                </c:pt>
                <c:pt idx="5">
                  <c:v>0</c:v>
                </c:pt>
                <c:pt idx="6">
                  <c:v>1.2129032258064519E-2</c:v>
                </c:pt>
                <c:pt idx="7">
                  <c:v>2.4258064516129038E-2</c:v>
                </c:pt>
                <c:pt idx="8">
                  <c:v>3.6387096774193557E-2</c:v>
                </c:pt>
                <c:pt idx="9">
                  <c:v>4.8516129032258076E-2</c:v>
                </c:pt>
                <c:pt idx="10">
                  <c:v>6.0645161290322595E-2</c:v>
                </c:pt>
                <c:pt idx="11">
                  <c:v>7.2774193548387114E-2</c:v>
                </c:pt>
                <c:pt idx="12">
                  <c:v>8.4903225806451627E-2</c:v>
                </c:pt>
                <c:pt idx="13">
                  <c:v>9.7032258064516153E-2</c:v>
                </c:pt>
                <c:pt idx="14">
                  <c:v>0.10916129032258068</c:v>
                </c:pt>
                <c:pt idx="15">
                  <c:v>0.1212903225806452</c:v>
                </c:pt>
                <c:pt idx="16">
                  <c:v>0.13341935483870973</c:v>
                </c:pt>
                <c:pt idx="17">
                  <c:v>0.14554838709677426</c:v>
                </c:pt>
                <c:pt idx="18">
                  <c:v>0.15767741935483878</c:v>
                </c:pt>
                <c:pt idx="19">
                  <c:v>0.16980645161290331</c:v>
                </c:pt>
                <c:pt idx="20">
                  <c:v>0.18193548387096783</c:v>
                </c:pt>
                <c:pt idx="21">
                  <c:v>0.19406451612903236</c:v>
                </c:pt>
                <c:pt idx="22">
                  <c:v>0.20619354838709689</c:v>
                </c:pt>
                <c:pt idx="23">
                  <c:v>0.21832258064516141</c:v>
                </c:pt>
                <c:pt idx="24">
                  <c:v>0.23045161290322594</c:v>
                </c:pt>
                <c:pt idx="25">
                  <c:v>0.24258064516129046</c:v>
                </c:pt>
                <c:pt idx="26">
                  <c:v>0.25470967741935496</c:v>
                </c:pt>
                <c:pt idx="27">
                  <c:v>0.26683870967741946</c:v>
                </c:pt>
                <c:pt idx="28">
                  <c:v>0.27896774193548396</c:v>
                </c:pt>
                <c:pt idx="29">
                  <c:v>0.29109677419354846</c:v>
                </c:pt>
                <c:pt idx="30">
                  <c:v>0.30322580645161296</c:v>
                </c:pt>
              </c:numCache>
            </c:numRef>
          </c:xVal>
          <c:yVal>
            <c:numRef>
              <c:f>Calculation!$E$599:$E$629</c:f>
              <c:numCache>
                <c:formatCode>0.000</c:formatCode>
                <c:ptCount val="31"/>
                <c:pt idx="5" formatCode="0">
                  <c:v>196.50687313862656</c:v>
                </c:pt>
                <c:pt idx="6" formatCode="0">
                  <c:v>208.25522572351733</c:v>
                </c:pt>
                <c:pt idx="7" formatCode="0">
                  <c:v>212.62526407681344</c:v>
                </c:pt>
                <c:pt idx="8" formatCode="0">
                  <c:v>215.45521188053246</c:v>
                </c:pt>
                <c:pt idx="9" formatCode="0">
                  <c:v>217.50788590127965</c:v>
                </c:pt>
                <c:pt idx="10" formatCode="0">
                  <c:v>220.12688910877776</c:v>
                </c:pt>
                <c:pt idx="11" formatCode="0">
                  <c:v>221.91836798352898</c:v>
                </c:pt>
                <c:pt idx="12" formatCode="0">
                  <c:v>223.36240225703989</c:v>
                </c:pt>
                <c:pt idx="13" formatCode="0">
                  <c:v>224.54545368288385</c:v>
                </c:pt>
                <c:pt idx="14" formatCode="0">
                  <c:v>225.71287355274461</c:v>
                </c:pt>
                <c:pt idx="15" formatCode="0">
                  <c:v>226.27917909245983</c:v>
                </c:pt>
                <c:pt idx="16" formatCode="0">
                  <c:v>226.76565096341707</c:v>
                </c:pt>
                <c:pt idx="17" formatCode="0">
                  <c:v>227.18333189218851</c:v>
                </c:pt>
                <c:pt idx="18" formatCode="0">
                  <c:v>227.54130635628925</c:v>
                </c:pt>
                <c:pt idx="19" formatCode="0">
                  <c:v>227.84715748527901</c:v>
                </c:pt>
                <c:pt idx="20" formatCode="0">
                  <c:v>228.10727328052053</c:v>
                </c:pt>
                <c:pt idx="21" formatCode="0">
                  <c:v>228.32707823580679</c:v>
                </c:pt>
                <c:pt idx="22" formatCode="0">
                  <c:v>228.5112114534875</c:v>
                </c:pt>
                <c:pt idx="23" formatCode="0">
                  <c:v>228.66366557124672</c:v>
                </c:pt>
                <c:pt idx="24" formatCode="0">
                  <c:v>228.78789646498953</c:v>
                </c:pt>
                <c:pt idx="25" formatCode="0">
                  <c:v>228.88691081319865</c:v>
                </c:pt>
                <c:pt idx="26" formatCode="0">
                  <c:v>228.96333664619783</c:v>
                </c:pt>
                <c:pt idx="27" formatCode="0">
                  <c:v>229.01948062322757</c:v>
                </c:pt>
                <c:pt idx="28" formatCode="0">
                  <c:v>229.05737474466105</c:v>
                </c:pt>
                <c:pt idx="29" formatCode="0">
                  <c:v>229.07881423179043</c:v>
                </c:pt>
                <c:pt idx="30" formatCode="0">
                  <c:v>229.08538622462672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B72-4EDE-BB45-4500A68D843E}"/>
            </c:ext>
          </c:extLst>
        </c:ser>
        <c:ser>
          <c:idx val="4"/>
          <c:order val="4"/>
          <c:tx>
            <c:strRef>
              <c:f>Calculation!$F$596:$F$598</c:f>
              <c:strCache>
                <c:ptCount val="3"/>
                <c:pt idx="0">
                  <c:v>Flue Gas</c:v>
                </c:pt>
                <c:pt idx="1">
                  <c:v>Temp</c:v>
                </c:pt>
                <c:pt idx="2">
                  <c:v>Deg. C</c:v>
                </c:pt>
              </c:strCache>
            </c:strRef>
          </c:tx>
          <c:spPr>
            <a:ln w="12700">
              <a:solidFill>
                <a:srgbClr val="666666"/>
              </a:solidFill>
              <a:prstDash val="solid"/>
            </a:ln>
          </c:spPr>
          <c:marker>
            <c:symbol val="dot"/>
            <c:size val="2"/>
            <c:spPr>
              <a:noFill/>
              <a:ln>
                <a:solidFill>
                  <a:srgbClr val="666666"/>
                </a:solidFill>
                <a:prstDash val="solid"/>
              </a:ln>
            </c:spPr>
          </c:marker>
          <c:xVal>
            <c:numRef>
              <c:f>Calculation!$A$599:$A$629</c:f>
              <c:numCache>
                <c:formatCode>0.000</c:formatCode>
                <c:ptCount val="31"/>
                <c:pt idx="0">
                  <c:v>-1E-3</c:v>
                </c:pt>
                <c:pt idx="1">
                  <c:v>-8.0000000000002205E-4</c:v>
                </c:pt>
                <c:pt idx="2">
                  <c:v>-6.0000000000004407E-4</c:v>
                </c:pt>
                <c:pt idx="3">
                  <c:v>-4.000000000000661E-4</c:v>
                </c:pt>
                <c:pt idx="4">
                  <c:v>-2.0000000000008813E-4</c:v>
                </c:pt>
                <c:pt idx="5">
                  <c:v>0</c:v>
                </c:pt>
                <c:pt idx="6">
                  <c:v>1.2129032258064519E-2</c:v>
                </c:pt>
                <c:pt idx="7">
                  <c:v>2.4258064516129038E-2</c:v>
                </c:pt>
                <c:pt idx="8">
                  <c:v>3.6387096774193557E-2</c:v>
                </c:pt>
                <c:pt idx="9">
                  <c:v>4.8516129032258076E-2</c:v>
                </c:pt>
                <c:pt idx="10">
                  <c:v>6.0645161290322595E-2</c:v>
                </c:pt>
                <c:pt idx="11">
                  <c:v>7.2774193548387114E-2</c:v>
                </c:pt>
                <c:pt idx="12">
                  <c:v>8.4903225806451627E-2</c:v>
                </c:pt>
                <c:pt idx="13">
                  <c:v>9.7032258064516153E-2</c:v>
                </c:pt>
                <c:pt idx="14">
                  <c:v>0.10916129032258068</c:v>
                </c:pt>
                <c:pt idx="15">
                  <c:v>0.1212903225806452</c:v>
                </c:pt>
                <c:pt idx="16">
                  <c:v>0.13341935483870973</c:v>
                </c:pt>
                <c:pt idx="17">
                  <c:v>0.14554838709677426</c:v>
                </c:pt>
                <c:pt idx="18">
                  <c:v>0.15767741935483878</c:v>
                </c:pt>
                <c:pt idx="19">
                  <c:v>0.16980645161290331</c:v>
                </c:pt>
                <c:pt idx="20">
                  <c:v>0.18193548387096783</c:v>
                </c:pt>
                <c:pt idx="21">
                  <c:v>0.19406451612903236</c:v>
                </c:pt>
                <c:pt idx="22">
                  <c:v>0.20619354838709689</c:v>
                </c:pt>
                <c:pt idx="23">
                  <c:v>0.21832258064516141</c:v>
                </c:pt>
                <c:pt idx="24">
                  <c:v>0.23045161290322594</c:v>
                </c:pt>
                <c:pt idx="25">
                  <c:v>0.24258064516129046</c:v>
                </c:pt>
                <c:pt idx="26">
                  <c:v>0.25470967741935496</c:v>
                </c:pt>
                <c:pt idx="27">
                  <c:v>0.26683870967741946</c:v>
                </c:pt>
                <c:pt idx="28">
                  <c:v>0.27896774193548396</c:v>
                </c:pt>
                <c:pt idx="29">
                  <c:v>0.29109677419354846</c:v>
                </c:pt>
                <c:pt idx="30">
                  <c:v>0.30322580645161296</c:v>
                </c:pt>
              </c:numCache>
            </c:numRef>
          </c:xVal>
          <c:yVal>
            <c:numRef>
              <c:f>Calculation!$F$599:$F$629</c:f>
              <c:numCache>
                <c:formatCode>0</c:formatCode>
                <c:ptCount val="31"/>
                <c:pt idx="0">
                  <c:v>1055.8064683811604</c:v>
                </c:pt>
                <c:pt idx="1">
                  <c:v>1055.8064683811604</c:v>
                </c:pt>
                <c:pt idx="2">
                  <c:v>1055.8064683811604</c:v>
                </c:pt>
                <c:pt idx="3">
                  <c:v>1055.8064683811604</c:v>
                </c:pt>
                <c:pt idx="4">
                  <c:v>1055.8064683811604</c:v>
                </c:pt>
                <c:pt idx="5">
                  <c:v>1034.2609350901587</c:v>
                </c:pt>
                <c:pt idx="6">
                  <c:v>768.82430816401393</c:v>
                </c:pt>
                <c:pt idx="7">
                  <c:v>661.23340724801915</c:v>
                </c:pt>
                <c:pt idx="8">
                  <c:v>589.36526534167888</c:v>
                </c:pt>
                <c:pt idx="9">
                  <c:v>535.95124172977137</c:v>
                </c:pt>
                <c:pt idx="10">
                  <c:v>490.94877699455742</c:v>
                </c:pt>
                <c:pt idx="11">
                  <c:v>455.54674265707672</c:v>
                </c:pt>
                <c:pt idx="12">
                  <c:v>426.25012894072142</c:v>
                </c:pt>
                <c:pt idx="13">
                  <c:v>401.54691595405399</c:v>
                </c:pt>
                <c:pt idx="14">
                  <c:v>379.85305374359018</c:v>
                </c:pt>
                <c:pt idx="15">
                  <c:v>362.01169212940772</c:v>
                </c:pt>
                <c:pt idx="16">
                  <c:v>345.96004703646651</c:v>
                </c:pt>
                <c:pt idx="17">
                  <c:v>331.47117888802944</c:v>
                </c:pt>
                <c:pt idx="18">
                  <c:v>318.35463917523589</c:v>
                </c:pt>
                <c:pt idx="19">
                  <c:v>306.44920551311895</c:v>
                </c:pt>
                <c:pt idx="20">
                  <c:v>295.6173576677067</c:v>
                </c:pt>
                <c:pt idx="21">
                  <c:v>285.74100243078425</c:v>
                </c:pt>
                <c:pt idx="22">
                  <c:v>276.71811449626989</c:v>
                </c:pt>
                <c:pt idx="23">
                  <c:v>268.46006269344406</c:v>
                </c:pt>
                <c:pt idx="24">
                  <c:v>260.88945645278682</c:v>
                </c:pt>
                <c:pt idx="25">
                  <c:v>253.93838976673348</c:v>
                </c:pt>
                <c:pt idx="26">
                  <c:v>247.54698492564751</c:v>
                </c:pt>
                <c:pt idx="27">
                  <c:v>241.66214196178001</c:v>
                </c:pt>
                <c:pt idx="28">
                  <c:v>236.23634231492861</c:v>
                </c:pt>
                <c:pt idx="29">
                  <c:v>231.22591380528831</c:v>
                </c:pt>
                <c:pt idx="30">
                  <c:v>226.56352876956009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B72-4EDE-BB45-4500A68D8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036928"/>
        <c:axId val="1"/>
      </c:scatterChart>
      <c:valAx>
        <c:axId val="478036928"/>
        <c:scaling>
          <c:orientation val="minMax"/>
        </c:scaling>
        <c:delete val="0"/>
        <c:axPos val="b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DISTANCE FROM FIREBOX TUBEPLATE m</a:t>
                </a:r>
              </a:p>
            </c:rich>
          </c:tx>
          <c:layout>
            <c:manualLayout>
              <c:xMode val="edge"/>
              <c:yMode val="edge"/>
              <c:x val="0.35005354420979951"/>
              <c:y val="0.85758039816232767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TEMPERATURE DEG. C</a:t>
                </a:r>
              </a:p>
            </c:rich>
          </c:tx>
          <c:layout>
            <c:manualLayout>
              <c:xMode val="edge"/>
              <c:yMode val="edge"/>
              <c:x val="1.7075782644380463E-2"/>
              <c:y val="0.333843797856049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8036928"/>
        <c:crossesAt val="0"/>
        <c:crossBetween val="midCat"/>
      </c:valAx>
      <c:spPr>
        <a:noFill/>
        <a:ln w="3175">
          <a:solidFill>
            <a:srgbClr val="B3B3B3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6328717153688818"/>
          <c:y val="0.91883614088820831"/>
          <c:w val="0.70437603408069416"/>
          <c:h val="7.197549770290964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133350</xdr:rowOff>
    </xdr:from>
    <xdr:to>
      <xdr:col>6</xdr:col>
      <xdr:colOff>742950</xdr:colOff>
      <xdr:row>74</xdr:row>
      <xdr:rowOff>104775</xdr:rowOff>
    </xdr:to>
    <xdr:pic>
      <xdr:nvPicPr>
        <xdr:cNvPr id="1025" name="Graphics 1">
          <a:extLst>
            <a:ext uri="{FF2B5EF4-FFF2-40B4-BE49-F238E27FC236}">
              <a16:creationId xmlns:a16="http://schemas.microsoft.com/office/drawing/2014/main" id="{0AF10004-ACF5-48FB-8FB6-C70E5A707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58350"/>
          <a:ext cx="6753225" cy="3400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0</xdr:colOff>
      <xdr:row>75</xdr:row>
      <xdr:rowOff>95250</xdr:rowOff>
    </xdr:from>
    <xdr:to>
      <xdr:col>7</xdr:col>
      <xdr:colOff>28575</xdr:colOff>
      <xdr:row>97</xdr:row>
      <xdr:rowOff>85725</xdr:rowOff>
    </xdr:to>
    <xdr:pic>
      <xdr:nvPicPr>
        <xdr:cNvPr id="1026" name="Graphics 2">
          <a:extLst>
            <a:ext uri="{FF2B5EF4-FFF2-40B4-BE49-F238E27FC236}">
              <a16:creationId xmlns:a16="http://schemas.microsoft.com/office/drawing/2014/main" id="{8892692C-C7DD-48A2-901F-F5A3DA008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220700"/>
          <a:ext cx="6858000" cy="3762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76200</xdr:rowOff>
    </xdr:from>
    <xdr:to>
      <xdr:col>10</xdr:col>
      <xdr:colOff>723900</xdr:colOff>
      <xdr:row>36</xdr:row>
      <xdr:rowOff>76200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2C05CBEB-0576-48B6-9A4D-2291DFAC80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47625</xdr:rowOff>
    </xdr:from>
    <xdr:to>
      <xdr:col>10</xdr:col>
      <xdr:colOff>733425</xdr:colOff>
      <xdr:row>36</xdr:row>
      <xdr:rowOff>47625</xdr:rowOff>
    </xdr:to>
    <xdr:graphicFrame macro="">
      <xdr:nvGraphicFramePr>
        <xdr:cNvPr id="5121" name="Chart 1">
          <a:extLst>
            <a:ext uri="{FF2B5EF4-FFF2-40B4-BE49-F238E27FC236}">
              <a16:creationId xmlns:a16="http://schemas.microsoft.com/office/drawing/2014/main" id="{D8DFCB76-8149-4DCD-AF52-7CD26D059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47625</xdr:rowOff>
    </xdr:from>
    <xdr:to>
      <xdr:col>10</xdr:col>
      <xdr:colOff>676275</xdr:colOff>
      <xdr:row>35</xdr:row>
      <xdr:rowOff>161925</xdr:rowOff>
    </xdr:to>
    <xdr:graphicFrame macro="">
      <xdr:nvGraphicFramePr>
        <xdr:cNvPr id="6145" name="Chart 1">
          <a:extLst>
            <a:ext uri="{FF2B5EF4-FFF2-40B4-BE49-F238E27FC236}">
              <a16:creationId xmlns:a16="http://schemas.microsoft.com/office/drawing/2014/main" id="{BEF72C2C-6484-42D0-9DED-D25DA52DE2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47625</xdr:rowOff>
    </xdr:from>
    <xdr:to>
      <xdr:col>10</xdr:col>
      <xdr:colOff>752475</xdr:colOff>
      <xdr:row>36</xdr:row>
      <xdr:rowOff>95250</xdr:rowOff>
    </xdr:to>
    <xdr:graphicFrame macro="">
      <xdr:nvGraphicFramePr>
        <xdr:cNvPr id="7169" name="Chart 1">
          <a:extLst>
            <a:ext uri="{FF2B5EF4-FFF2-40B4-BE49-F238E27FC236}">
              <a16:creationId xmlns:a16="http://schemas.microsoft.com/office/drawing/2014/main" id="{8C7D0EFA-678B-4263-B5A7-730F61E606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abSelected="1" zoomScaleSheetLayoutView="70" workbookViewId="0">
      <selection activeCell="F4" sqref="F4"/>
    </sheetView>
  </sheetViews>
  <sheetFormatPr defaultColWidth="10.75" defaultRowHeight="13.5" x14ac:dyDescent="0.25"/>
  <cols>
    <col min="1" max="1" width="25.125" customWidth="1"/>
  </cols>
  <sheetData>
    <row r="1" spans="1:1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3" ht="34.5" x14ac:dyDescent="0.25">
      <c r="A2" s="1" t="s">
        <v>1</v>
      </c>
      <c r="B2" s="2" t="s">
        <v>2</v>
      </c>
      <c r="C2" s="1"/>
      <c r="D2" s="1"/>
      <c r="E2" s="1"/>
      <c r="F2" s="1"/>
      <c r="G2" s="1"/>
      <c r="H2" s="1"/>
      <c r="I2" s="1"/>
      <c r="J2" s="1"/>
    </row>
    <row r="3" spans="1:13" x14ac:dyDescent="0.25">
      <c r="A3" s="1" t="s">
        <v>3</v>
      </c>
      <c r="B3" s="3"/>
      <c r="D3" s="1"/>
      <c r="E3" s="1"/>
      <c r="F3" s="1"/>
      <c r="G3" s="1"/>
      <c r="H3" s="1"/>
      <c r="I3" s="1"/>
      <c r="J3" s="1"/>
    </row>
    <row r="4" spans="1:13" x14ac:dyDescent="0.25">
      <c r="A4" s="1"/>
      <c r="B4" s="3"/>
      <c r="D4" s="1"/>
      <c r="E4" s="1"/>
      <c r="F4" s="1"/>
      <c r="G4" s="1"/>
      <c r="H4" s="1"/>
      <c r="I4" s="1"/>
      <c r="J4" s="1"/>
    </row>
    <row r="5" spans="1:13" x14ac:dyDescent="0.25">
      <c r="A5" s="4" t="s">
        <v>4</v>
      </c>
      <c r="B5" s="5"/>
      <c r="D5" s="6"/>
      <c r="E5" s="1"/>
      <c r="F5" s="1"/>
      <c r="G5" s="1"/>
      <c r="H5" s="1"/>
      <c r="I5" s="1"/>
      <c r="J5" s="1"/>
    </row>
    <row r="6" spans="1:13" x14ac:dyDescent="0.25">
      <c r="A6" s="1" t="s">
        <v>5</v>
      </c>
      <c r="B6" s="7">
        <f>0.05494</f>
        <v>5.4940000000000003E-2</v>
      </c>
      <c r="C6" s="1" t="s">
        <v>6</v>
      </c>
      <c r="D6" s="1" t="s">
        <v>7</v>
      </c>
      <c r="E6" s="1"/>
      <c r="F6" s="1"/>
      <c r="G6" s="1"/>
      <c r="H6" s="1"/>
      <c r="I6" s="1"/>
      <c r="J6" s="1"/>
    </row>
    <row r="7" spans="1:13" x14ac:dyDescent="0.25">
      <c r="A7" s="1" t="s">
        <v>8</v>
      </c>
      <c r="B7" s="8">
        <v>16.5</v>
      </c>
      <c r="C7" s="1" t="s">
        <v>9</v>
      </c>
      <c r="D7" s="1" t="s">
        <v>10</v>
      </c>
      <c r="E7" s="1"/>
      <c r="F7" s="1"/>
      <c r="J7" s="1" t="s">
        <v>11</v>
      </c>
      <c r="K7" s="1"/>
      <c r="L7" s="9"/>
      <c r="M7" s="1"/>
    </row>
    <row r="8" spans="1:13" x14ac:dyDescent="0.25">
      <c r="A8" s="1" t="s">
        <v>12</v>
      </c>
      <c r="B8" s="8">
        <v>17</v>
      </c>
      <c r="C8" s="1" t="s">
        <v>13</v>
      </c>
      <c r="D8" s="1" t="s">
        <v>14</v>
      </c>
      <c r="E8" s="1"/>
      <c r="F8" s="1"/>
      <c r="G8" s="1"/>
      <c r="H8" s="1"/>
      <c r="I8" s="1"/>
      <c r="J8" s="1"/>
    </row>
    <row r="9" spans="1:13" x14ac:dyDescent="0.25">
      <c r="A9" s="1"/>
      <c r="B9" s="8"/>
      <c r="C9" s="9"/>
      <c r="D9" s="9"/>
      <c r="E9" s="10">
        <f>11.5/0.025791*B6</f>
        <v>24.497305261525337</v>
      </c>
      <c r="F9" s="11" t="s">
        <v>15</v>
      </c>
      <c r="G9" s="12"/>
      <c r="H9" s="1"/>
      <c r="I9" s="1"/>
      <c r="J9" s="1"/>
    </row>
    <row r="10" spans="1:13" x14ac:dyDescent="0.25">
      <c r="A10" s="1"/>
      <c r="B10" s="5"/>
      <c r="C10" s="9"/>
      <c r="D10" s="9"/>
      <c r="E10" s="10">
        <f>37.6/0.13736*B6</f>
        <v>15.038905066977286</v>
      </c>
      <c r="F10" s="11" t="s">
        <v>16</v>
      </c>
      <c r="G10" s="12"/>
      <c r="H10" s="9"/>
      <c r="I10" s="9"/>
      <c r="J10" s="9"/>
    </row>
    <row r="11" spans="1:13" x14ac:dyDescent="0.25">
      <c r="A11" s="1" t="s">
        <v>17</v>
      </c>
      <c r="B11" s="8">
        <f>E9</f>
        <v>24.497305261525337</v>
      </c>
      <c r="C11" s="1" t="s">
        <v>18</v>
      </c>
      <c r="D11" s="12" t="s">
        <v>19</v>
      </c>
      <c r="E11" s="1"/>
      <c r="F11" s="1"/>
      <c r="G11" s="1"/>
      <c r="H11" s="9"/>
      <c r="I11" s="9"/>
      <c r="J11" s="9"/>
    </row>
    <row r="12" spans="1:13" x14ac:dyDescent="0.25">
      <c r="A12" s="1" t="s">
        <v>20</v>
      </c>
      <c r="B12" s="8">
        <v>90</v>
      </c>
      <c r="C12" s="1" t="s">
        <v>18</v>
      </c>
      <c r="D12" s="1" t="s">
        <v>21</v>
      </c>
      <c r="E12" s="1"/>
      <c r="F12" s="1"/>
      <c r="G12" s="1"/>
      <c r="H12" s="9"/>
      <c r="I12" s="9"/>
      <c r="J12" s="9"/>
    </row>
    <row r="13" spans="1:13" x14ac:dyDescent="0.25">
      <c r="A13" s="1" t="s">
        <v>22</v>
      </c>
      <c r="B13" s="8">
        <v>97.5</v>
      </c>
      <c r="C13" s="1" t="s">
        <v>18</v>
      </c>
      <c r="D13" s="13" t="s">
        <v>23</v>
      </c>
      <c r="E13" s="1"/>
      <c r="F13" s="1"/>
      <c r="G13" s="1"/>
      <c r="H13" s="9"/>
      <c r="I13" s="9"/>
      <c r="J13" s="9"/>
    </row>
    <row r="14" spans="1:13" x14ac:dyDescent="0.25">
      <c r="A14" s="1" t="s">
        <v>24</v>
      </c>
      <c r="B14" s="8">
        <v>1</v>
      </c>
      <c r="C14" s="1"/>
      <c r="D14" s="13"/>
      <c r="E14" s="1"/>
      <c r="F14" s="1"/>
      <c r="G14" s="1"/>
      <c r="H14" s="9"/>
      <c r="I14" s="9"/>
      <c r="J14" s="9"/>
    </row>
    <row r="15" spans="1:13" x14ac:dyDescent="0.25">
      <c r="A15" s="1" t="s">
        <v>25</v>
      </c>
      <c r="B15" s="3">
        <v>1.1100000000000001</v>
      </c>
      <c r="C15" s="1" t="s">
        <v>26</v>
      </c>
      <c r="D15" s="1" t="s">
        <v>27</v>
      </c>
      <c r="E15" s="1"/>
      <c r="F15" s="1"/>
      <c r="G15" s="1"/>
      <c r="H15" s="9"/>
      <c r="I15" s="9"/>
      <c r="J15" s="9"/>
    </row>
    <row r="16" spans="1:13" x14ac:dyDescent="0.25">
      <c r="A16" s="14" t="s">
        <v>28</v>
      </c>
      <c r="B16" s="15">
        <v>0.9</v>
      </c>
      <c r="C16" s="14" t="s">
        <v>29</v>
      </c>
      <c r="D16" s="1" t="s">
        <v>30</v>
      </c>
      <c r="E16" s="1"/>
      <c r="F16" s="1"/>
      <c r="G16" s="1"/>
      <c r="H16" s="9"/>
      <c r="I16" s="9"/>
      <c r="J16" s="9"/>
    </row>
    <row r="17" spans="1:10" x14ac:dyDescent="0.25">
      <c r="A17" s="1" t="s">
        <v>31</v>
      </c>
      <c r="B17" s="16">
        <v>1.6</v>
      </c>
      <c r="C17" s="9"/>
      <c r="D17" s="13" t="s">
        <v>32</v>
      </c>
      <c r="E17" s="1"/>
      <c r="F17" s="1"/>
      <c r="G17" s="1"/>
      <c r="H17" s="9"/>
      <c r="I17" s="9"/>
      <c r="J17" s="9"/>
    </row>
    <row r="18" spans="1:10" x14ac:dyDescent="0.25">
      <c r="B18" s="5"/>
      <c r="H18" s="1"/>
      <c r="I18" s="1"/>
      <c r="J18" s="1"/>
    </row>
    <row r="19" spans="1:10" x14ac:dyDescent="0.25">
      <c r="A19" s="17" t="s">
        <v>33</v>
      </c>
      <c r="B19" s="8"/>
      <c r="C19" s="1"/>
      <c r="D19" s="9"/>
      <c r="E19" s="9"/>
      <c r="F19" s="1"/>
      <c r="G19" s="1"/>
      <c r="H19" s="1"/>
      <c r="I19" s="1"/>
      <c r="J19" s="1"/>
    </row>
    <row r="20" spans="1:10" x14ac:dyDescent="0.25">
      <c r="A20" s="1" t="s">
        <v>34</v>
      </c>
      <c r="B20" s="3">
        <v>85.7</v>
      </c>
      <c r="C20" s="9" t="s">
        <v>18</v>
      </c>
      <c r="D20" s="9" t="s">
        <v>35</v>
      </c>
      <c r="E20" s="9"/>
      <c r="F20" s="1"/>
      <c r="G20" s="1"/>
      <c r="H20" s="1"/>
      <c r="I20" s="1"/>
      <c r="J20" s="1"/>
    </row>
    <row r="21" spans="1:10" x14ac:dyDescent="0.25">
      <c r="A21" s="1" t="s">
        <v>36</v>
      </c>
      <c r="B21" s="3">
        <v>2.97</v>
      </c>
      <c r="C21" s="9" t="s">
        <v>18</v>
      </c>
      <c r="D21" s="9" t="s">
        <v>35</v>
      </c>
      <c r="E21" s="9"/>
      <c r="F21" s="1"/>
      <c r="G21" s="1"/>
      <c r="H21" s="1"/>
      <c r="I21" s="1"/>
      <c r="J21" s="1"/>
    </row>
    <row r="22" spans="1:10" x14ac:dyDescent="0.25">
      <c r="A22" s="1" t="s">
        <v>37</v>
      </c>
      <c r="B22" s="3">
        <v>0.62</v>
      </c>
      <c r="C22" s="9" t="s">
        <v>18</v>
      </c>
      <c r="D22" s="9" t="s">
        <v>35</v>
      </c>
      <c r="E22" s="9"/>
      <c r="F22" s="1"/>
      <c r="G22" s="1"/>
      <c r="H22" s="1"/>
      <c r="I22" s="1"/>
      <c r="J22" s="1"/>
    </row>
    <row r="23" spans="1:10" x14ac:dyDescent="0.25">
      <c r="A23" s="1" t="s">
        <v>38</v>
      </c>
      <c r="B23" s="3">
        <v>3.15</v>
      </c>
      <c r="C23" s="9" t="s">
        <v>18</v>
      </c>
      <c r="D23" s="9" t="s">
        <v>35</v>
      </c>
      <c r="E23" s="9"/>
      <c r="F23" s="1"/>
      <c r="G23" s="1"/>
      <c r="H23" s="1"/>
      <c r="I23" s="1"/>
      <c r="J23" s="1"/>
    </row>
    <row r="24" spans="1:10" x14ac:dyDescent="0.25">
      <c r="A24" s="1" t="s">
        <v>39</v>
      </c>
      <c r="B24" s="3">
        <v>3.59</v>
      </c>
      <c r="C24" s="9" t="s">
        <v>18</v>
      </c>
      <c r="D24" s="9" t="s">
        <v>35</v>
      </c>
      <c r="E24" s="9"/>
      <c r="F24" s="1"/>
      <c r="G24" s="1"/>
      <c r="H24" s="1"/>
      <c r="I24" s="1"/>
      <c r="J24" s="1"/>
    </row>
    <row r="25" spans="1:10" x14ac:dyDescent="0.25">
      <c r="A25" s="1" t="s">
        <v>40</v>
      </c>
      <c r="B25" s="3">
        <v>2.97</v>
      </c>
      <c r="C25" s="9" t="s">
        <v>18</v>
      </c>
      <c r="D25" s="9" t="s">
        <v>35</v>
      </c>
      <c r="E25" s="9"/>
      <c r="F25" s="1"/>
      <c r="G25" s="1"/>
      <c r="H25" s="1"/>
      <c r="I25" s="1"/>
      <c r="J25" s="1"/>
    </row>
    <row r="26" spans="1:10" x14ac:dyDescent="0.25">
      <c r="A26" s="1" t="s">
        <v>41</v>
      </c>
      <c r="B26" s="3">
        <v>1</v>
      </c>
      <c r="C26" s="9" t="s">
        <v>18</v>
      </c>
      <c r="D26" s="9" t="s">
        <v>35</v>
      </c>
      <c r="E26" s="9"/>
      <c r="F26" s="1"/>
      <c r="G26" s="1"/>
      <c r="H26" s="1"/>
      <c r="I26" s="1"/>
      <c r="J26" s="1"/>
    </row>
    <row r="27" spans="1:10" x14ac:dyDescent="0.25">
      <c r="A27" s="18"/>
      <c r="B27" s="16"/>
      <c r="C27" s="9"/>
      <c r="D27" s="13"/>
      <c r="E27" s="1"/>
      <c r="F27" s="1"/>
      <c r="G27" s="1"/>
      <c r="H27" s="1"/>
      <c r="I27" s="1"/>
      <c r="J27" s="1"/>
    </row>
    <row r="28" spans="1:10" x14ac:dyDescent="0.25">
      <c r="A28" s="17" t="s">
        <v>42</v>
      </c>
      <c r="B28" s="8"/>
      <c r="C28" s="1"/>
      <c r="D28" s="13"/>
      <c r="E28" s="1"/>
      <c r="F28" s="1"/>
      <c r="G28" s="1"/>
      <c r="H28" s="1"/>
      <c r="I28" s="1"/>
      <c r="J28" s="1"/>
    </row>
    <row r="29" spans="1:10" x14ac:dyDescent="0.25">
      <c r="A29" s="1" t="s">
        <v>43</v>
      </c>
      <c r="B29" s="8">
        <v>5.4</v>
      </c>
      <c r="C29" s="1" t="s">
        <v>44</v>
      </c>
      <c r="D29" s="13" t="s">
        <v>45</v>
      </c>
      <c r="E29" s="1"/>
      <c r="F29" s="1"/>
      <c r="G29" s="1"/>
      <c r="H29" s="1"/>
      <c r="I29" s="1"/>
      <c r="J29" s="1"/>
    </row>
    <row r="30" spans="1:10" x14ac:dyDescent="0.25">
      <c r="A30" s="1" t="s">
        <v>46</v>
      </c>
      <c r="B30" s="3">
        <v>17</v>
      </c>
      <c r="C30" s="1" t="s">
        <v>47</v>
      </c>
      <c r="D30" s="9" t="s">
        <v>48</v>
      </c>
      <c r="E30" s="19"/>
      <c r="F30" s="1"/>
      <c r="G30" s="1"/>
      <c r="H30" s="1"/>
      <c r="I30" s="1"/>
      <c r="J30" s="1"/>
    </row>
    <row r="31" spans="1:10" x14ac:dyDescent="0.25">
      <c r="A31" s="1" t="s">
        <v>49</v>
      </c>
      <c r="B31" s="3">
        <v>99.9</v>
      </c>
      <c r="C31" s="1" t="s">
        <v>18</v>
      </c>
      <c r="D31" s="1" t="s">
        <v>50</v>
      </c>
      <c r="E31" s="19"/>
      <c r="F31" s="1"/>
      <c r="G31" s="1"/>
      <c r="H31" s="1"/>
      <c r="I31" s="1"/>
      <c r="J31" s="1"/>
    </row>
    <row r="32" spans="1:10" x14ac:dyDescent="0.25">
      <c r="A32" s="1" t="s">
        <v>51</v>
      </c>
      <c r="B32" s="20">
        <v>4</v>
      </c>
      <c r="C32" s="1" t="s">
        <v>44</v>
      </c>
      <c r="D32" s="1" t="s">
        <v>52</v>
      </c>
      <c r="E32" s="19"/>
      <c r="F32" s="1"/>
      <c r="G32" s="1"/>
      <c r="H32" s="1"/>
      <c r="I32" s="1"/>
      <c r="J32" s="1"/>
    </row>
    <row r="33" spans="1:10" x14ac:dyDescent="0.25">
      <c r="B33" s="20"/>
      <c r="C33" s="1"/>
      <c r="D33" s="1"/>
      <c r="E33" s="19"/>
      <c r="F33" s="1"/>
      <c r="G33" s="1"/>
      <c r="H33" s="1"/>
      <c r="I33" s="1"/>
      <c r="J33" s="1"/>
    </row>
    <row r="34" spans="1:10" x14ac:dyDescent="0.25">
      <c r="A34" s="21" t="s">
        <v>53</v>
      </c>
      <c r="B34" s="20"/>
      <c r="C34" s="1"/>
      <c r="D34" s="1" t="s">
        <v>54</v>
      </c>
      <c r="E34" s="19"/>
      <c r="F34" s="1"/>
      <c r="G34" s="1"/>
      <c r="H34" s="1"/>
      <c r="I34" s="1"/>
      <c r="J34" s="1"/>
    </row>
    <row r="35" spans="1:10" x14ac:dyDescent="0.25">
      <c r="A35" s="1" t="s">
        <v>55</v>
      </c>
      <c r="B35" s="22">
        <f>5.8/39.37*1000</f>
        <v>147.32029464058928</v>
      </c>
      <c r="C35" s="1" t="s">
        <v>56</v>
      </c>
      <c r="D35" s="1"/>
      <c r="E35" s="19"/>
      <c r="F35" s="1"/>
      <c r="G35" s="1"/>
      <c r="H35" s="1"/>
      <c r="I35" s="1"/>
      <c r="J35" s="1"/>
    </row>
    <row r="36" spans="1:10" x14ac:dyDescent="0.25">
      <c r="A36" s="1" t="s">
        <v>57</v>
      </c>
      <c r="B36" s="22">
        <f>2.75/39.37*1000</f>
        <v>69.850139700279414</v>
      </c>
      <c r="C36" s="1" t="s">
        <v>56</v>
      </c>
      <c r="D36" s="1"/>
      <c r="E36" s="19"/>
      <c r="F36" s="1"/>
      <c r="G36" s="1"/>
      <c r="H36" s="1"/>
      <c r="I36" s="1"/>
      <c r="J36" s="1"/>
    </row>
    <row r="37" spans="1:10" x14ac:dyDescent="0.25">
      <c r="A37" s="1" t="s">
        <v>58</v>
      </c>
      <c r="B37" s="7">
        <f>107.2/39.37/39.37</f>
        <v>6.916142864543795E-2</v>
      </c>
      <c r="C37" s="1" t="s">
        <v>59</v>
      </c>
      <c r="D37" s="1"/>
      <c r="E37" s="19"/>
      <c r="F37" s="1"/>
      <c r="G37" s="1"/>
      <c r="H37" s="1"/>
      <c r="I37" s="1"/>
      <c r="J37" s="9"/>
    </row>
    <row r="38" spans="1:10" x14ac:dyDescent="0.25">
      <c r="A38" s="1" t="s">
        <v>60</v>
      </c>
      <c r="B38" s="23">
        <f>11.938/39.37</f>
        <v>0.30322580645161296</v>
      </c>
      <c r="C38" s="1" t="s">
        <v>61</v>
      </c>
      <c r="D38" s="13" t="s">
        <v>62</v>
      </c>
      <c r="E38" s="1"/>
      <c r="F38" s="1"/>
      <c r="G38" s="1"/>
      <c r="H38" s="24"/>
      <c r="I38" s="9"/>
      <c r="J38" s="24"/>
    </row>
    <row r="39" spans="1:10" x14ac:dyDescent="0.25">
      <c r="A39" s="1" t="s">
        <v>63</v>
      </c>
      <c r="B39" s="25">
        <f>(0.4375-0.028-0.028)/39.37*1000</f>
        <v>9.6901193802387589</v>
      </c>
      <c r="C39" s="1" t="s">
        <v>56</v>
      </c>
      <c r="D39" s="13"/>
      <c r="E39" s="1"/>
      <c r="F39" s="1"/>
      <c r="G39" s="1"/>
      <c r="H39" s="24"/>
      <c r="I39" s="24"/>
      <c r="J39" s="26"/>
    </row>
    <row r="40" spans="1:10" x14ac:dyDescent="0.25">
      <c r="A40" s="1" t="s">
        <v>64</v>
      </c>
      <c r="B40" s="3">
        <v>26</v>
      </c>
      <c r="C40" s="1"/>
      <c r="D40" s="13"/>
      <c r="E40" s="1"/>
      <c r="F40" s="1"/>
      <c r="G40" s="1"/>
      <c r="H40" s="9"/>
      <c r="I40" s="9"/>
      <c r="J40" s="1"/>
    </row>
    <row r="41" spans="1:10" x14ac:dyDescent="0.25">
      <c r="A41" s="1" t="s">
        <v>65</v>
      </c>
      <c r="B41" s="16">
        <f>(0.75-0.028-0.028)*25.4</f>
        <v>17.627599999999997</v>
      </c>
      <c r="C41" s="1" t="s">
        <v>56</v>
      </c>
      <c r="D41" s="13"/>
      <c r="E41" s="1"/>
      <c r="F41" s="1"/>
      <c r="G41" s="1"/>
      <c r="H41" s="27"/>
      <c r="I41" s="27"/>
      <c r="J41" s="27"/>
    </row>
    <row r="42" spans="1:10" x14ac:dyDescent="0.25">
      <c r="A42" s="1" t="s">
        <v>66</v>
      </c>
      <c r="B42" s="3">
        <v>5</v>
      </c>
      <c r="C42" s="1"/>
      <c r="D42" s="1" t="s">
        <v>67</v>
      </c>
      <c r="E42" s="1"/>
      <c r="F42" s="1"/>
      <c r="G42" s="1"/>
      <c r="H42" s="9"/>
      <c r="I42" s="9"/>
      <c r="J42" s="1"/>
    </row>
    <row r="43" spans="1:10" x14ac:dyDescent="0.25">
      <c r="A43" s="1" t="s">
        <v>68</v>
      </c>
      <c r="B43" s="3">
        <v>1</v>
      </c>
      <c r="C43" s="1"/>
      <c r="D43" s="1" t="s">
        <v>69</v>
      </c>
      <c r="E43" s="1"/>
      <c r="F43" s="1"/>
      <c r="G43" s="1"/>
      <c r="H43" s="9"/>
      <c r="I43" s="9"/>
      <c r="J43" s="1"/>
    </row>
    <row r="44" spans="1:10" x14ac:dyDescent="0.25">
      <c r="A44" s="1" t="s">
        <v>70</v>
      </c>
      <c r="B44" s="22">
        <f>25.4*0.25</f>
        <v>6.35</v>
      </c>
      <c r="C44" s="1" t="s">
        <v>56</v>
      </c>
      <c r="D44" s="13"/>
      <c r="E44" s="1"/>
      <c r="F44" s="1"/>
      <c r="G44" s="1"/>
      <c r="H44" s="9"/>
      <c r="I44" s="9"/>
      <c r="J44" s="9"/>
    </row>
    <row r="45" spans="1:10" x14ac:dyDescent="0.25">
      <c r="A45" s="1" t="s">
        <v>71</v>
      </c>
      <c r="B45" s="8">
        <f>(0.25-0.036-0.036)*25.4</f>
        <v>4.5211999999999994</v>
      </c>
      <c r="C45" s="1" t="s">
        <v>56</v>
      </c>
      <c r="D45" s="13"/>
      <c r="E45" s="1"/>
      <c r="F45" s="1"/>
      <c r="G45" s="1"/>
      <c r="H45" s="24"/>
      <c r="I45" s="24"/>
      <c r="J45" s="26"/>
    </row>
    <row r="46" spans="1:10" x14ac:dyDescent="0.25">
      <c r="A46" s="1" t="s">
        <v>72</v>
      </c>
      <c r="B46" s="3">
        <v>1</v>
      </c>
      <c r="C46" s="1" t="s">
        <v>56</v>
      </c>
      <c r="D46" s="13" t="s">
        <v>73</v>
      </c>
      <c r="E46" s="1"/>
      <c r="F46" s="1"/>
      <c r="G46" s="1"/>
      <c r="H46" s="26"/>
      <c r="I46" s="1"/>
      <c r="J46" s="1"/>
    </row>
    <row r="47" spans="1:10" x14ac:dyDescent="0.25">
      <c r="A47" s="1" t="s">
        <v>74</v>
      </c>
      <c r="B47" s="3">
        <v>0.30000000000000004</v>
      </c>
      <c r="C47" s="1" t="s">
        <v>56</v>
      </c>
      <c r="D47" s="13" t="s">
        <v>75</v>
      </c>
      <c r="E47" s="1"/>
      <c r="F47" s="1"/>
      <c r="G47" s="1"/>
      <c r="H47" s="26"/>
      <c r="I47" s="1"/>
      <c r="J47" s="1"/>
    </row>
    <row r="48" spans="1:10" x14ac:dyDescent="0.25">
      <c r="A48" s="1" t="s">
        <v>76</v>
      </c>
      <c r="B48" s="3">
        <v>0.05</v>
      </c>
      <c r="C48" s="1" t="s">
        <v>56</v>
      </c>
      <c r="D48" s="13" t="s">
        <v>77</v>
      </c>
      <c r="E48" s="1"/>
      <c r="F48" s="1"/>
      <c r="G48" s="1"/>
      <c r="H48" s="26"/>
      <c r="I48" s="1"/>
      <c r="J48" s="1"/>
    </row>
    <row r="49" spans="1:10" x14ac:dyDescent="0.25">
      <c r="A49" s="1"/>
      <c r="B49" s="25"/>
      <c r="C49" s="1"/>
      <c r="D49" s="13"/>
      <c r="E49" s="1"/>
      <c r="F49" s="1"/>
      <c r="G49" s="1"/>
      <c r="H49" s="26"/>
      <c r="I49" s="26"/>
      <c r="J49" s="1"/>
    </row>
    <row r="50" spans="1:10" x14ac:dyDescent="0.25">
      <c r="A50" s="17" t="s">
        <v>78</v>
      </c>
      <c r="B50" s="25"/>
      <c r="C50" s="1"/>
      <c r="D50" s="13"/>
      <c r="E50" s="1"/>
      <c r="F50" s="1"/>
      <c r="G50" s="1"/>
      <c r="H50" s="26"/>
      <c r="I50" s="26"/>
      <c r="J50" s="1"/>
    </row>
    <row r="51" spans="1:10" x14ac:dyDescent="0.25">
      <c r="A51" s="28" t="s">
        <v>79</v>
      </c>
      <c r="B51" s="25">
        <v>0.45</v>
      </c>
      <c r="C51" s="1" t="s">
        <v>61</v>
      </c>
      <c r="D51" s="13"/>
      <c r="E51" s="1"/>
      <c r="F51" s="1"/>
      <c r="G51" s="1"/>
      <c r="H51" s="26"/>
      <c r="I51" s="26"/>
      <c r="J51" s="1"/>
    </row>
    <row r="52" spans="1:10" x14ac:dyDescent="0.25">
      <c r="A52" s="28" t="s">
        <v>80</v>
      </c>
      <c r="B52" s="8">
        <v>140</v>
      </c>
      <c r="C52" s="1" t="s">
        <v>56</v>
      </c>
      <c r="D52" s="13"/>
      <c r="E52" s="1"/>
      <c r="F52" s="1"/>
      <c r="G52" s="1"/>
      <c r="H52" s="26"/>
      <c r="I52" s="26"/>
      <c r="J52" s="1"/>
    </row>
    <row r="53" spans="1:10" x14ac:dyDescent="0.25">
      <c r="A53" s="28" t="s">
        <v>81</v>
      </c>
      <c r="B53" s="8">
        <v>3</v>
      </c>
      <c r="C53" s="1" t="s">
        <v>56</v>
      </c>
      <c r="D53" s="13"/>
      <c r="E53" s="1"/>
      <c r="F53" s="1"/>
      <c r="G53" s="1"/>
      <c r="H53" s="26"/>
      <c r="I53" s="26"/>
      <c r="J53" s="1"/>
    </row>
    <row r="54" spans="1:10" x14ac:dyDescent="0.25">
      <c r="A54" s="1" t="s">
        <v>82</v>
      </c>
      <c r="B54" s="25">
        <v>0.08</v>
      </c>
      <c r="C54" s="1" t="s">
        <v>83</v>
      </c>
      <c r="D54" s="13" t="s">
        <v>84</v>
      </c>
      <c r="E54" s="1"/>
      <c r="F54" s="1"/>
      <c r="G54" s="1"/>
      <c r="H54" s="26"/>
      <c r="I54" s="26"/>
      <c r="J54" s="1"/>
    </row>
    <row r="99" spans="1:1" x14ac:dyDescent="0.25">
      <c r="A99" s="29" t="s">
        <v>85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629"/>
  <sheetViews>
    <sheetView topLeftCell="A334" zoomScaleSheetLayoutView="70" workbookViewId="0">
      <selection activeCell="A252" sqref="A252"/>
    </sheetView>
  </sheetViews>
  <sheetFormatPr defaultColWidth="12.625" defaultRowHeight="12" customHeight="1" x14ac:dyDescent="0.2"/>
  <cols>
    <col min="1" max="1" width="28.125" style="9" customWidth="1"/>
    <col min="2" max="178" width="12.75" style="9" customWidth="1"/>
    <col min="179" max="16384" width="12.625" style="9"/>
  </cols>
  <sheetData>
    <row r="1" spans="1:17" ht="12" customHeight="1" x14ac:dyDescent="0.25">
      <c r="A1" s="29" t="s">
        <v>86</v>
      </c>
      <c r="B1"/>
      <c r="C1"/>
      <c r="D1"/>
      <c r="E1"/>
      <c r="F1"/>
      <c r="G1"/>
      <c r="H1"/>
      <c r="I1"/>
      <c r="J1"/>
      <c r="K1" s="1"/>
      <c r="L1" s="1"/>
      <c r="N1" s="26"/>
      <c r="O1" s="1"/>
      <c r="P1" s="26"/>
      <c r="Q1" s="30"/>
    </row>
    <row r="2" spans="1:17" ht="12" customHeight="1" x14ac:dyDescent="0.25">
      <c r="A2" s="29" t="s">
        <v>87</v>
      </c>
      <c r="B2"/>
      <c r="C2"/>
      <c r="D2"/>
      <c r="E2"/>
      <c r="F2"/>
      <c r="G2"/>
      <c r="H2"/>
      <c r="I2"/>
      <c r="J2"/>
      <c r="K2" s="1"/>
      <c r="L2" s="1"/>
      <c r="N2" s="26"/>
      <c r="O2" s="1"/>
      <c r="P2" s="26"/>
      <c r="Q2" s="30"/>
    </row>
    <row r="3" spans="1:17" ht="12" customHeight="1" x14ac:dyDescent="0.2">
      <c r="D3" s="31"/>
      <c r="N3" s="30"/>
    </row>
    <row r="4" spans="1:17" ht="12" customHeight="1" x14ac:dyDescent="0.2">
      <c r="A4" s="32" t="s">
        <v>88</v>
      </c>
      <c r="B4" s="33"/>
      <c r="C4" s="33"/>
      <c r="D4" s="34"/>
      <c r="E4" s="33"/>
      <c r="F4" s="33"/>
      <c r="G4" s="33"/>
      <c r="H4" s="33"/>
      <c r="I4" s="33"/>
      <c r="J4" s="35"/>
      <c r="N4" s="30"/>
    </row>
    <row r="5" spans="1:17" ht="12" customHeight="1" x14ac:dyDescent="0.2">
      <c r="A5" s="36" t="s">
        <v>89</v>
      </c>
      <c r="B5" s="37">
        <f>'Data Input'!B30*4.19</f>
        <v>71.23</v>
      </c>
      <c r="C5" s="1" t="s">
        <v>90</v>
      </c>
      <c r="D5" s="13" t="s">
        <v>91</v>
      </c>
      <c r="E5" s="1"/>
      <c r="F5" s="1"/>
      <c r="G5" s="1"/>
      <c r="H5" s="1"/>
      <c r="I5" s="1"/>
      <c r="J5" s="38"/>
    </row>
    <row r="6" spans="1:17" ht="12" customHeight="1" x14ac:dyDescent="0.2">
      <c r="A6" s="36" t="s">
        <v>92</v>
      </c>
      <c r="B6" s="37">
        <f>100.55*('Data Input'!B29+1)^0.2536</f>
        <v>161.00127538118977</v>
      </c>
      <c r="C6" s="1" t="s">
        <v>47</v>
      </c>
      <c r="D6" s="13" t="s">
        <v>93</v>
      </c>
      <c r="E6" s="1"/>
      <c r="F6" s="1"/>
      <c r="G6" s="1"/>
      <c r="H6" s="1"/>
      <c r="I6" s="1"/>
      <c r="J6" s="38"/>
      <c r="N6" s="39"/>
    </row>
    <row r="7" spans="1:17" ht="12" customHeight="1" x14ac:dyDescent="0.2">
      <c r="A7" s="36" t="s">
        <v>94</v>
      </c>
      <c r="B7" s="37">
        <f>B6*4.19</f>
        <v>674.59534384718518</v>
      </c>
      <c r="C7" s="1" t="s">
        <v>90</v>
      </c>
      <c r="D7" s="13" t="s">
        <v>95</v>
      </c>
      <c r="E7" s="1"/>
      <c r="F7" s="1"/>
      <c r="G7" s="1"/>
      <c r="H7" s="1"/>
      <c r="I7" s="1"/>
      <c r="J7" s="38"/>
      <c r="N7" s="39"/>
    </row>
    <row r="8" spans="1:17" ht="12" customHeight="1" x14ac:dyDescent="0.2">
      <c r="A8" s="36" t="s">
        <v>96</v>
      </c>
      <c r="B8" s="12">
        <f>2677.2*('Data Input'!B29+1)^0.0161</f>
        <v>2758.4194975489841</v>
      </c>
      <c r="C8" s="1" t="s">
        <v>90</v>
      </c>
      <c r="D8" s="13" t="s">
        <v>97</v>
      </c>
      <c r="E8" s="19"/>
      <c r="F8" s="1"/>
      <c r="G8" s="1"/>
      <c r="H8" s="1"/>
      <c r="I8" s="1"/>
      <c r="J8" s="38"/>
    </row>
    <row r="9" spans="1:17" ht="12" customHeight="1" x14ac:dyDescent="0.2">
      <c r="A9" s="36" t="s">
        <v>98</v>
      </c>
      <c r="B9" s="37">
        <f>'Data Input'!B31</f>
        <v>99.9</v>
      </c>
      <c r="C9" s="1" t="s">
        <v>18</v>
      </c>
      <c r="D9" s="13" t="s">
        <v>99</v>
      </c>
      <c r="E9" s="19"/>
      <c r="F9" s="1"/>
      <c r="G9" s="1"/>
      <c r="H9" s="1"/>
      <c r="I9" s="1"/>
      <c r="J9" s="38"/>
    </row>
    <row r="10" spans="1:17" ht="12" customHeight="1" x14ac:dyDescent="0.2">
      <c r="A10" s="40" t="s">
        <v>100</v>
      </c>
      <c r="B10" s="41">
        <f>B8*B9/100+B7*(100-B9)/100</f>
        <v>2756.3356733952824</v>
      </c>
      <c r="C10" s="42" t="s">
        <v>90</v>
      </c>
      <c r="D10" s="42"/>
      <c r="E10" s="42"/>
      <c r="F10" s="42"/>
      <c r="G10" s="42"/>
      <c r="H10" s="42"/>
      <c r="I10" s="42"/>
      <c r="J10" s="43"/>
    </row>
    <row r="11" spans="1:17" ht="12" customHeight="1" x14ac:dyDescent="0.2">
      <c r="E11" s="44"/>
    </row>
    <row r="12" spans="1:17" ht="12" customHeight="1" x14ac:dyDescent="0.2">
      <c r="A12" s="45" t="s">
        <v>101</v>
      </c>
      <c r="B12" s="46"/>
      <c r="C12" s="46"/>
      <c r="D12" s="47"/>
      <c r="E12" s="48"/>
      <c r="F12" s="46"/>
      <c r="G12" s="46"/>
      <c r="H12" s="46"/>
      <c r="I12" s="49"/>
    </row>
    <row r="13" spans="1:17" ht="12" customHeight="1" x14ac:dyDescent="0.2">
      <c r="A13" s="50" t="s">
        <v>102</v>
      </c>
      <c r="B13" s="51">
        <f>('Data Input'!B20/100*14600+'Data Input'!B21/100*62000+'Data Input'!B22/100*4050)*1.05506/0.454</f>
        <v>33414.981877973565</v>
      </c>
      <c r="C13" s="50" t="s">
        <v>103</v>
      </c>
      <c r="D13" s="52">
        <f>B13/1.05506*0.454</f>
        <v>14378.709999999997</v>
      </c>
      <c r="E13" s="53" t="s">
        <v>104</v>
      </c>
      <c r="F13" s="54"/>
      <c r="G13" s="54"/>
      <c r="H13" s="54"/>
      <c r="I13" s="55"/>
    </row>
    <row r="14" spans="1:17" ht="12" customHeight="1" x14ac:dyDescent="0.2">
      <c r="A14" s="50" t="s">
        <v>105</v>
      </c>
      <c r="B14" s="56">
        <f>'Data Input'!B35*'Data Input'!B36/1000000*'Data Input'!B6</f>
        <v>5.6535145328355193E-4</v>
      </c>
      <c r="C14" s="50" t="s">
        <v>106</v>
      </c>
      <c r="D14" s="57"/>
      <c r="E14" s="53"/>
      <c r="F14" s="54"/>
      <c r="G14" s="54"/>
      <c r="H14" s="54"/>
      <c r="I14" s="55"/>
    </row>
    <row r="15" spans="1:17" ht="12" customHeight="1" x14ac:dyDescent="0.2">
      <c r="A15" s="50" t="s">
        <v>107</v>
      </c>
      <c r="B15" s="56">
        <f>B14*('Data Input'!B11+'Data Input'!B24)/100</f>
        <v>1.5879198848422105E-4</v>
      </c>
      <c r="C15" s="50" t="s">
        <v>106</v>
      </c>
      <c r="D15" s="57" t="s">
        <v>108</v>
      </c>
      <c r="E15" s="53"/>
      <c r="F15" s="54"/>
      <c r="G15" s="54"/>
      <c r="H15" s="54"/>
      <c r="I15" s="55"/>
    </row>
    <row r="16" spans="1:17" ht="12" customHeight="1" x14ac:dyDescent="0.2">
      <c r="A16" s="50" t="s">
        <v>109</v>
      </c>
      <c r="B16" s="56">
        <f>B14-B15</f>
        <v>4.0655946479933088E-4</v>
      </c>
      <c r="C16" s="50" t="s">
        <v>106</v>
      </c>
      <c r="D16" s="54" t="s">
        <v>110</v>
      </c>
      <c r="E16" s="54"/>
      <c r="F16" s="54"/>
      <c r="G16" s="54"/>
      <c r="H16" s="54"/>
      <c r="I16" s="55"/>
    </row>
    <row r="17" spans="1:69" ht="12" customHeight="1" x14ac:dyDescent="0.2">
      <c r="A17" s="50"/>
      <c r="B17" s="56"/>
      <c r="C17" s="50"/>
      <c r="D17" s="54" t="s">
        <v>111</v>
      </c>
      <c r="E17" s="54"/>
      <c r="F17" s="57">
        <f>B16*'Data Input'!B20/100-F18</f>
        <v>3.3402293758400003E-4</v>
      </c>
      <c r="G17" s="50" t="s">
        <v>106</v>
      </c>
      <c r="H17" s="54" t="s">
        <v>112</v>
      </c>
      <c r="I17" s="55"/>
    </row>
    <row r="18" spans="1:69" ht="12" customHeight="1" x14ac:dyDescent="0.2">
      <c r="A18" s="50"/>
      <c r="B18" s="56"/>
      <c r="C18" s="50"/>
      <c r="D18" s="54" t="s">
        <v>113</v>
      </c>
      <c r="E18" s="54"/>
      <c r="F18" s="56">
        <f>B16*(100-'Data Input'!B13)/100*B13/(10150*1.05506/0.454)</f>
        <v>1.4398523749026565E-5</v>
      </c>
      <c r="G18" s="50" t="s">
        <v>106</v>
      </c>
      <c r="H18" s="57" t="s">
        <v>114</v>
      </c>
      <c r="I18" s="55"/>
    </row>
    <row r="19" spans="1:69" ht="12" customHeight="1" x14ac:dyDescent="0.2">
      <c r="A19" s="50"/>
      <c r="B19" s="56"/>
      <c r="C19" s="50"/>
      <c r="D19" s="50" t="s">
        <v>36</v>
      </c>
      <c r="E19" s="54"/>
      <c r="F19" s="57">
        <f>B16*'Data Input'!B21/100</f>
        <v>1.2074816104540127E-5</v>
      </c>
      <c r="G19" s="50" t="s">
        <v>106</v>
      </c>
      <c r="H19" s="54"/>
      <c r="I19" s="55"/>
    </row>
    <row r="20" spans="1:69" ht="12" customHeight="1" x14ac:dyDescent="0.2">
      <c r="A20" s="50"/>
      <c r="B20" s="56"/>
      <c r="C20" s="50"/>
      <c r="D20" s="50" t="s">
        <v>37</v>
      </c>
      <c r="E20" s="54"/>
      <c r="F20" s="57">
        <f>B16*'Data Input'!B22/100</f>
        <v>2.5206686817558516E-6</v>
      </c>
      <c r="G20" s="50" t="s">
        <v>106</v>
      </c>
      <c r="H20" s="54"/>
      <c r="I20" s="55"/>
    </row>
    <row r="21" spans="1:69" ht="12" customHeight="1" x14ac:dyDescent="0.2">
      <c r="A21" s="50"/>
      <c r="B21" s="56"/>
      <c r="C21" s="50"/>
      <c r="D21" s="50" t="s">
        <v>38</v>
      </c>
      <c r="E21" s="54"/>
      <c r="F21" s="57">
        <f>B16*'Data Input'!B23/100</f>
        <v>1.2806623141178922E-5</v>
      </c>
      <c r="G21" s="50" t="s">
        <v>106</v>
      </c>
      <c r="H21" s="54"/>
      <c r="I21" s="55"/>
    </row>
    <row r="22" spans="1:69" ht="12" customHeight="1" x14ac:dyDescent="0.2">
      <c r="A22" s="50"/>
      <c r="B22" s="56"/>
      <c r="C22" s="50"/>
      <c r="D22" s="50" t="s">
        <v>39</v>
      </c>
      <c r="E22" s="54"/>
      <c r="F22" s="57">
        <f>B16*'Data Input'!B24/100</f>
        <v>1.4595484786295978E-5</v>
      </c>
      <c r="G22" s="50" t="s">
        <v>106</v>
      </c>
      <c r="H22" s="54" t="s">
        <v>115</v>
      </c>
      <c r="I22" s="55"/>
    </row>
    <row r="23" spans="1:69" ht="12" customHeight="1" x14ac:dyDescent="0.2">
      <c r="A23" s="50"/>
      <c r="B23" s="56"/>
      <c r="C23" s="50"/>
      <c r="D23" s="50" t="s">
        <v>40</v>
      </c>
      <c r="E23" s="54"/>
      <c r="F23" s="57">
        <f>B16*'Data Input'!B25/100</f>
        <v>1.2074816104540127E-5</v>
      </c>
      <c r="G23" s="50" t="s">
        <v>106</v>
      </c>
      <c r="H23" s="54"/>
      <c r="I23" s="55"/>
    </row>
    <row r="24" spans="1:69" ht="12" customHeight="1" x14ac:dyDescent="0.2">
      <c r="A24" s="50"/>
      <c r="B24" s="56"/>
      <c r="C24" s="50"/>
      <c r="D24" s="50" t="s">
        <v>41</v>
      </c>
      <c r="E24" s="54"/>
      <c r="F24" s="57">
        <f>B16*'Data Input'!B26/100</f>
        <v>4.065594647993309E-6</v>
      </c>
      <c r="G24" s="50" t="s">
        <v>106</v>
      </c>
      <c r="H24" s="54"/>
      <c r="I24" s="55"/>
    </row>
    <row r="25" spans="1:69" ht="12" customHeight="1" x14ac:dyDescent="0.2">
      <c r="A25" s="50" t="s">
        <v>116</v>
      </c>
      <c r="B25" s="56">
        <f>B16*'Data Input'!B7</f>
        <v>6.70823116918896E-3</v>
      </c>
      <c r="C25" s="50" t="s">
        <v>106</v>
      </c>
      <c r="D25" s="54" t="s">
        <v>110</v>
      </c>
      <c r="E25" s="53"/>
      <c r="F25" s="58"/>
      <c r="G25" s="54"/>
      <c r="H25" s="54"/>
      <c r="I25" s="55"/>
      <c r="N25" s="59"/>
    </row>
    <row r="26" spans="1:69" ht="12" customHeight="1" x14ac:dyDescent="0.2">
      <c r="A26" s="54"/>
      <c r="B26" s="54"/>
      <c r="C26" s="54"/>
      <c r="D26" s="54" t="s">
        <v>40</v>
      </c>
      <c r="E26" s="54"/>
      <c r="F26" s="57">
        <f>B25*0.232</f>
        <v>1.5563096312518389E-3</v>
      </c>
      <c r="G26" s="50" t="s">
        <v>106</v>
      </c>
      <c r="H26" s="54"/>
      <c r="I26" s="60"/>
      <c r="N26" s="59"/>
      <c r="BP26" s="1"/>
      <c r="BQ26" s="1"/>
    </row>
    <row r="27" spans="1:69" ht="12" customHeight="1" x14ac:dyDescent="0.2">
      <c r="A27" s="54"/>
      <c r="B27" s="54"/>
      <c r="C27" s="54"/>
      <c r="D27" s="54" t="s">
        <v>117</v>
      </c>
      <c r="E27" s="53"/>
      <c r="F27" s="57">
        <f>B25*0.00046</f>
        <v>3.0857863378269215E-6</v>
      </c>
      <c r="G27" s="50" t="s">
        <v>106</v>
      </c>
      <c r="H27" s="54"/>
      <c r="I27" s="60"/>
      <c r="J27" s="61"/>
      <c r="K27" s="61"/>
      <c r="L27" s="61"/>
      <c r="M27" s="61"/>
      <c r="N27" s="59"/>
      <c r="BP27" s="1"/>
      <c r="BQ27" s="1"/>
    </row>
    <row r="28" spans="1:69" ht="12" customHeight="1" x14ac:dyDescent="0.2">
      <c r="A28" s="54"/>
      <c r="B28" s="54"/>
      <c r="C28" s="54"/>
      <c r="D28" s="54" t="s">
        <v>118</v>
      </c>
      <c r="E28" s="54"/>
      <c r="F28" s="57">
        <f>B25-F27-F26</f>
        <v>5.1488357515992941E-3</v>
      </c>
      <c r="G28" s="50" t="s">
        <v>106</v>
      </c>
      <c r="H28" s="54"/>
      <c r="I28" s="60"/>
      <c r="J28" s="61"/>
      <c r="K28" s="61"/>
      <c r="L28" s="61"/>
      <c r="M28" s="61"/>
      <c r="N28" s="59"/>
      <c r="BP28" s="1"/>
      <c r="BQ28" s="1"/>
    </row>
    <row r="29" spans="1:69" ht="12" customHeight="1" x14ac:dyDescent="0.2">
      <c r="A29" s="50" t="s">
        <v>119</v>
      </c>
      <c r="B29" s="62"/>
      <c r="C29" s="50"/>
      <c r="D29" s="54"/>
      <c r="E29" s="54"/>
      <c r="F29" s="54"/>
      <c r="G29" s="54"/>
      <c r="H29" s="54"/>
      <c r="I29" s="60"/>
      <c r="J29" s="61"/>
      <c r="K29" s="61"/>
      <c r="L29" s="61"/>
      <c r="M29" s="61"/>
      <c r="BP29" s="1"/>
      <c r="BQ29" s="1"/>
    </row>
    <row r="30" spans="1:69" ht="12" customHeight="1" x14ac:dyDescent="0.2">
      <c r="A30" s="54"/>
      <c r="B30" s="63" t="s">
        <v>120</v>
      </c>
      <c r="C30" s="64" t="s">
        <v>121</v>
      </c>
      <c r="D30" s="65" t="s">
        <v>122</v>
      </c>
      <c r="E30" s="65" t="s">
        <v>123</v>
      </c>
      <c r="F30" s="66" t="s">
        <v>124</v>
      </c>
      <c r="G30" s="65"/>
      <c r="H30" s="65" t="s">
        <v>125</v>
      </c>
      <c r="I30" s="55"/>
      <c r="K30" s="61"/>
      <c r="L30" s="61"/>
      <c r="M30" s="61"/>
      <c r="BP30" s="1"/>
      <c r="BQ30" s="1"/>
    </row>
    <row r="31" spans="1:69" ht="12" customHeight="1" x14ac:dyDescent="0.2">
      <c r="A31" s="50"/>
      <c r="B31" s="64" t="s">
        <v>106</v>
      </c>
      <c r="C31" s="64" t="s">
        <v>18</v>
      </c>
      <c r="D31" s="65" t="s">
        <v>126</v>
      </c>
      <c r="E31" s="65" t="s">
        <v>18</v>
      </c>
      <c r="F31" s="66" t="s">
        <v>106</v>
      </c>
      <c r="G31" s="65"/>
      <c r="H31" s="65" t="s">
        <v>127</v>
      </c>
      <c r="I31" s="55"/>
      <c r="K31" s="61"/>
      <c r="L31" s="61"/>
      <c r="M31" s="61"/>
      <c r="BP31" s="1"/>
      <c r="BQ31" s="1"/>
    </row>
    <row r="32" spans="1:69" ht="12" customHeight="1" x14ac:dyDescent="0.2">
      <c r="A32" s="50" t="s">
        <v>117</v>
      </c>
      <c r="B32" s="67">
        <f>F17/12*(12+16+16)+F27</f>
        <v>1.2278365574791604E-3</v>
      </c>
      <c r="C32" s="68">
        <f>(B32+F27)/(B16+B25)*100</f>
        <v>17.300893408397844</v>
      </c>
      <c r="D32" s="69">
        <f>B32/1.842</f>
        <v>6.6657793565643884E-4</v>
      </c>
      <c r="E32" s="70">
        <f>D32/D39*100</f>
        <v>11.998277861515565</v>
      </c>
      <c r="F32" s="71">
        <f>(B32-F27)/(12+16+16)*(16+16)</f>
        <v>8.9072783355733341E-4</v>
      </c>
      <c r="G32" s="65"/>
      <c r="H32" s="72">
        <f>F17*14600*1.05506/0.454</f>
        <v>11.333145179955235</v>
      </c>
      <c r="I32" s="55"/>
      <c r="K32" s="61"/>
      <c r="L32" s="61"/>
      <c r="M32" s="61"/>
      <c r="BP32" s="1"/>
      <c r="BQ32" s="1"/>
    </row>
    <row r="33" spans="1:69" ht="12" customHeight="1" x14ac:dyDescent="0.2">
      <c r="A33" s="50" t="s">
        <v>128</v>
      </c>
      <c r="B33" s="67">
        <f>F18/12*(12+16)</f>
        <v>3.3596555414395318E-5</v>
      </c>
      <c r="C33" s="68">
        <f>B33/(B16+B25)*100</f>
        <v>0.47220722495894896</v>
      </c>
      <c r="D33" s="69">
        <f>B33/1.165</f>
        <v>2.8838244990897266E-5</v>
      </c>
      <c r="E33" s="70">
        <f>D33/D39*100</f>
        <v>0.51908300279771269</v>
      </c>
      <c r="F33" s="71">
        <f>B33/(12+16)*(16)</f>
        <v>1.9198031665368754E-5</v>
      </c>
      <c r="G33" s="65"/>
      <c r="H33" s="72">
        <f>F18*(14600-10150)*1.05506/0.454</f>
        <v>0.14890157219511774</v>
      </c>
      <c r="I33" s="55"/>
      <c r="K33" s="61"/>
      <c r="L33" s="61"/>
      <c r="M33" s="61"/>
      <c r="BP33" s="1"/>
      <c r="BQ33" s="1"/>
    </row>
    <row r="34" spans="1:69" ht="12" customHeight="1" x14ac:dyDescent="0.25">
      <c r="A34" s="50" t="s">
        <v>129</v>
      </c>
      <c r="B34" s="67">
        <f>F19/2*(2+16)</f>
        <v>1.0867334494086115E-4</v>
      </c>
      <c r="C34" s="73">
        <f>B34/(B16+B25)*100</f>
        <v>1.5274285714285714</v>
      </c>
      <c r="D34" s="69">
        <f>B34/1000</f>
        <v>1.0867334494086114E-7</v>
      </c>
      <c r="E34" s="70">
        <f>D34/D39*100</f>
        <v>1.9560998331826255E-3</v>
      </c>
      <c r="F34" s="71">
        <f>B34/(1+1+16)*16</f>
        <v>9.659852883632102E-5</v>
      </c>
      <c r="G34" s="65"/>
      <c r="H34" s="72">
        <f>F19*62000*1.05506/0.454</f>
        <v>1.7397767394578825</v>
      </c>
      <c r="I34" s="55"/>
      <c r="K34"/>
      <c r="L34" s="61"/>
      <c r="M34" s="61"/>
      <c r="BP34" s="1"/>
      <c r="BQ34" s="1"/>
    </row>
    <row r="35" spans="1:69" ht="12" customHeight="1" x14ac:dyDescent="0.2">
      <c r="A35" s="50" t="s">
        <v>130</v>
      </c>
      <c r="B35" s="67">
        <f>F20/32*(32+16+16)</f>
        <v>5.0413373635117032E-6</v>
      </c>
      <c r="C35" s="74">
        <f>B35/(B16+B25)*100</f>
        <v>7.0857142857142855E-2</v>
      </c>
      <c r="D35" s="69">
        <f>B35/2.279</f>
        <v>2.212083090615052E-6</v>
      </c>
      <c r="E35" s="70">
        <f>D35/D39*100</f>
        <v>3.9817080875654894E-2</v>
      </c>
      <c r="F35" s="71">
        <f>B35/(32+16+16)*(16+16)</f>
        <v>2.5206686817558516E-6</v>
      </c>
      <c r="G35" s="65"/>
      <c r="H35" s="72">
        <f>F20*4050*1.05506/0.454</f>
        <v>2.3724228265334765E-2</v>
      </c>
      <c r="I35" s="55"/>
      <c r="BP35" s="1"/>
      <c r="BQ35" s="1"/>
    </row>
    <row r="36" spans="1:69" ht="12" customHeight="1" x14ac:dyDescent="0.2">
      <c r="A36" s="54" t="s">
        <v>131</v>
      </c>
      <c r="B36" s="69">
        <f>F26-F32-F34-F35+F23</f>
        <v>5.7853741628096863E-4</v>
      </c>
      <c r="C36" s="73">
        <f>B36/(B16+B25)*100</f>
        <v>8.1314749237626085</v>
      </c>
      <c r="D36" s="69">
        <f>B36/1.331</f>
        <v>4.346637237272492E-4</v>
      </c>
      <c r="E36" s="70">
        <f>D36/D39*100</f>
        <v>7.8238655296393551</v>
      </c>
      <c r="F36" s="71">
        <v>0</v>
      </c>
      <c r="G36" s="65"/>
      <c r="H36" s="65">
        <v>0</v>
      </c>
      <c r="I36" s="55"/>
      <c r="BP36" s="1"/>
      <c r="BQ36" s="1"/>
    </row>
    <row r="37" spans="1:69" ht="12" customHeight="1" x14ac:dyDescent="0.2">
      <c r="A37" s="50" t="s">
        <v>132</v>
      </c>
      <c r="B37" s="67">
        <f>F21+B34</f>
        <v>1.2147996808204006E-4</v>
      </c>
      <c r="C37" s="68">
        <f>B37/(B16+B25)*100</f>
        <v>1.7074285714285713</v>
      </c>
      <c r="D37" s="69">
        <f>B37/1000</f>
        <v>1.2147996808204005E-7</v>
      </c>
      <c r="E37" s="70">
        <f>D37/D39*100</f>
        <v>2.1866166485408466E-3</v>
      </c>
      <c r="F37" s="71">
        <v>0</v>
      </c>
      <c r="G37" s="65"/>
      <c r="H37" s="65">
        <v>0</v>
      </c>
      <c r="I37" s="55"/>
      <c r="BP37" s="1"/>
      <c r="BQ37" s="1"/>
    </row>
    <row r="38" spans="1:69" ht="12" customHeight="1" x14ac:dyDescent="0.2">
      <c r="A38" s="54" t="s">
        <v>118</v>
      </c>
      <c r="B38" s="69">
        <f>F28+F24</f>
        <v>5.1529013462472874E-3</v>
      </c>
      <c r="C38" s="73">
        <f>100-SUM(C32:C37)</f>
        <v>70.789710157166311</v>
      </c>
      <c r="D38" s="69">
        <f>B38/1.165</f>
        <v>4.4230912843324357E-3</v>
      </c>
      <c r="E38" s="70">
        <f>D38/D39*100</f>
        <v>79.614813808689973</v>
      </c>
      <c r="F38" s="71">
        <v>0</v>
      </c>
      <c r="G38" s="65"/>
      <c r="H38" s="65">
        <v>0</v>
      </c>
      <c r="I38" s="55"/>
      <c r="BP38" s="1"/>
      <c r="BQ38" s="1"/>
    </row>
    <row r="39" spans="1:69" ht="12" customHeight="1" x14ac:dyDescent="0.2">
      <c r="A39" s="54" t="s">
        <v>133</v>
      </c>
      <c r="B39" s="69">
        <f>SUM(B32:B38)</f>
        <v>7.2280665258082251E-3</v>
      </c>
      <c r="C39" s="64"/>
      <c r="D39" s="69">
        <f>SUM(D32:D38)</f>
        <v>5.5556134251106594E-3</v>
      </c>
      <c r="E39" s="65"/>
      <c r="F39" s="71">
        <f>SUM(F32:F38)</f>
        <v>1.009045062740779E-3</v>
      </c>
      <c r="G39" s="65"/>
      <c r="H39" s="75">
        <f>SUM(H32:H38)</f>
        <v>13.245547719873571</v>
      </c>
      <c r="I39" s="55"/>
      <c r="BP39" s="1"/>
      <c r="BQ39" s="1"/>
    </row>
    <row r="40" spans="1:69" ht="12" customHeight="1" x14ac:dyDescent="0.2">
      <c r="A40" s="54"/>
      <c r="B40" s="57"/>
      <c r="C40" s="50"/>
      <c r="D40" s="57"/>
      <c r="E40" s="54"/>
      <c r="F40" s="76"/>
      <c r="G40" s="54"/>
      <c r="H40" s="54"/>
      <c r="I40" s="55"/>
      <c r="BP40" s="1"/>
      <c r="BQ40" s="1"/>
    </row>
    <row r="41" spans="1:69" ht="12" customHeight="1" x14ac:dyDescent="0.2">
      <c r="A41" s="54" t="s">
        <v>134</v>
      </c>
      <c r="B41" s="77">
        <f>(F32+F33+F34+F35)/0.232/B16</f>
        <v>10.697899184644131</v>
      </c>
      <c r="C41" s="50"/>
      <c r="D41" s="57"/>
      <c r="E41" s="54"/>
      <c r="F41" s="76"/>
      <c r="G41" s="54"/>
      <c r="H41" s="54"/>
      <c r="I41" s="55"/>
      <c r="BP41" s="1"/>
      <c r="BQ41" s="1"/>
    </row>
    <row r="42" spans="1:69" ht="12" customHeight="1" x14ac:dyDescent="0.2">
      <c r="A42" s="54" t="s">
        <v>135</v>
      </c>
      <c r="B42" s="77">
        <f>B25/B16</f>
        <v>16.5</v>
      </c>
      <c r="C42" s="50"/>
      <c r="D42" s="57"/>
      <c r="E42" s="54"/>
      <c r="F42" s="76"/>
      <c r="G42" s="54"/>
      <c r="H42" s="54"/>
      <c r="I42" s="55"/>
      <c r="BP42" s="1"/>
      <c r="BQ42" s="1"/>
    </row>
    <row r="43" spans="1:69" ht="12" customHeight="1" x14ac:dyDescent="0.2">
      <c r="A43" s="50" t="s">
        <v>136</v>
      </c>
      <c r="B43" s="62">
        <f>B25+B16</f>
        <v>7.1147906339882909E-3</v>
      </c>
      <c r="C43" s="50" t="s">
        <v>106</v>
      </c>
      <c r="D43" s="54"/>
      <c r="E43" s="54"/>
      <c r="F43" s="54"/>
      <c r="G43" s="54"/>
      <c r="H43" s="54"/>
      <c r="I43" s="55"/>
      <c r="BP43" s="1"/>
      <c r="BQ43" s="1"/>
    </row>
    <row r="44" spans="1:69" ht="12" customHeight="1" x14ac:dyDescent="0.2">
      <c r="A44" s="50" t="s">
        <v>137</v>
      </c>
      <c r="B44" s="78">
        <f>B13*B14</f>
        <v>18.891208566155907</v>
      </c>
      <c r="C44" s="79" t="s">
        <v>138</v>
      </c>
      <c r="D44" s="54"/>
      <c r="E44" s="54"/>
      <c r="F44" s="54"/>
      <c r="G44" s="54"/>
      <c r="H44" s="54"/>
      <c r="I44" s="55"/>
      <c r="N44" s="59"/>
      <c r="BP44" s="1"/>
      <c r="BQ44" s="1"/>
    </row>
    <row r="45" spans="1:69" ht="12" customHeight="1" x14ac:dyDescent="0.2">
      <c r="A45" s="50" t="s">
        <v>139</v>
      </c>
      <c r="B45" s="77">
        <f>H39-B46</f>
        <v>12.971245951944324</v>
      </c>
      <c r="C45" s="79" t="s">
        <v>138</v>
      </c>
      <c r="D45" s="54"/>
      <c r="E45" s="54"/>
      <c r="F45" s="54"/>
      <c r="G45" s="54"/>
      <c r="H45" s="54"/>
      <c r="I45" s="55"/>
      <c r="N45" s="59"/>
      <c r="BP45" s="1"/>
      <c r="BQ45" s="1"/>
    </row>
    <row r="46" spans="1:69" ht="12" customHeight="1" x14ac:dyDescent="0.2">
      <c r="A46" s="50" t="s">
        <v>140</v>
      </c>
      <c r="B46" s="78">
        <f>B37*2258</f>
        <v>0.27430176792924649</v>
      </c>
      <c r="C46" s="79" t="s">
        <v>138</v>
      </c>
      <c r="D46" s="54" t="s">
        <v>141</v>
      </c>
      <c r="E46" s="54"/>
      <c r="F46" s="76"/>
      <c r="G46" s="54"/>
      <c r="H46" s="54"/>
      <c r="I46" s="55"/>
      <c r="N46" s="59"/>
      <c r="BP46" s="1"/>
      <c r="BQ46" s="1"/>
    </row>
    <row r="47" spans="1:69" ht="12" customHeight="1" x14ac:dyDescent="0.2">
      <c r="A47" s="50" t="s">
        <v>142</v>
      </c>
      <c r="B47" s="80">
        <f>B45/'Data Input'!B15/B43+'Data Input'!B8</f>
        <v>1659.4667660758935</v>
      </c>
      <c r="C47" s="56" t="s">
        <v>47</v>
      </c>
      <c r="D47" s="54" t="s">
        <v>143</v>
      </c>
      <c r="E47" s="54"/>
      <c r="F47" s="76"/>
      <c r="G47" s="54"/>
      <c r="H47" s="52">
        <f>B47*9/5+32</f>
        <v>3019.0401789366083</v>
      </c>
      <c r="I47" s="55" t="s">
        <v>144</v>
      </c>
      <c r="N47" s="59"/>
      <c r="BP47" s="1"/>
      <c r="BQ47" s="1"/>
    </row>
    <row r="48" spans="1:69" ht="12" customHeight="1" x14ac:dyDescent="0.2">
      <c r="A48" s="81"/>
      <c r="B48" s="82"/>
      <c r="C48" s="83"/>
      <c r="D48" s="81"/>
      <c r="E48" s="81"/>
      <c r="F48" s="82"/>
      <c r="G48" s="81"/>
      <c r="H48" s="81"/>
      <c r="I48" s="84"/>
      <c r="N48" s="59"/>
      <c r="BP48" s="1"/>
      <c r="BQ48" s="1"/>
    </row>
    <row r="49" spans="1:77" ht="12" customHeight="1" x14ac:dyDescent="0.2">
      <c r="B49" s="31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1"/>
      <c r="BR49" s="1"/>
      <c r="BS49" s="1"/>
      <c r="BT49" s="1"/>
      <c r="BU49" s="1"/>
      <c r="BV49" s="1"/>
      <c r="BW49" s="1"/>
      <c r="BX49" s="1"/>
      <c r="BY49" s="1"/>
    </row>
    <row r="50" spans="1:77" ht="12" customHeight="1" x14ac:dyDescent="0.2">
      <c r="A50" s="85" t="s">
        <v>145</v>
      </c>
      <c r="B50" s="86"/>
      <c r="C50" s="87"/>
      <c r="D50" s="87"/>
      <c r="E50" s="87"/>
      <c r="F50" s="88"/>
      <c r="G50" s="88"/>
      <c r="H50" s="33"/>
      <c r="I50" s="33"/>
      <c r="J50" s="33"/>
      <c r="K50" s="33"/>
      <c r="L50" s="33"/>
      <c r="M50" s="1"/>
      <c r="N50" s="1"/>
      <c r="O50" s="1"/>
      <c r="P50" s="1"/>
      <c r="Q50" s="1"/>
      <c r="R50" s="1"/>
      <c r="AR50" s="89"/>
      <c r="AS50" s="1"/>
      <c r="AT50" s="1"/>
      <c r="AU50" s="1"/>
      <c r="AV50" s="1"/>
      <c r="AW50" s="89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38"/>
      <c r="BQ50" s="1"/>
      <c r="BR50" s="1"/>
      <c r="BS50" s="1"/>
      <c r="BT50" s="1"/>
      <c r="BU50" s="1"/>
      <c r="BV50" s="1"/>
      <c r="BW50" s="1"/>
      <c r="BX50" s="1"/>
      <c r="BY50" s="1"/>
    </row>
    <row r="51" spans="1:77" ht="12" customHeight="1" x14ac:dyDescent="0.2">
      <c r="A51" s="90" t="s">
        <v>146</v>
      </c>
      <c r="B51" s="91">
        <f>B45</f>
        <v>12.971245951944324</v>
      </c>
      <c r="C51" s="92" t="s">
        <v>138</v>
      </c>
      <c r="D51" s="93"/>
      <c r="E51" s="93"/>
      <c r="F51" s="14"/>
      <c r="G51" s="1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38"/>
      <c r="BQ51" s="1"/>
      <c r="BR51" s="1"/>
      <c r="BS51" s="1"/>
      <c r="BT51" s="1"/>
      <c r="BU51" s="1"/>
      <c r="BV51" s="1"/>
      <c r="BW51" s="1"/>
      <c r="BX51" s="1"/>
      <c r="BY51" s="1"/>
    </row>
    <row r="52" spans="1:77" ht="12" customHeight="1" x14ac:dyDescent="0.2">
      <c r="A52" s="90" t="s">
        <v>147</v>
      </c>
      <c r="B52" s="94">
        <f>B45*('Data Input'!B12)/100</f>
        <v>11.674121356749893</v>
      </c>
      <c r="C52" s="93" t="s">
        <v>148</v>
      </c>
      <c r="D52" s="93" t="s">
        <v>149</v>
      </c>
      <c r="E52" s="9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AR52" s="89"/>
      <c r="AS52" s="95"/>
      <c r="AT52" s="89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38"/>
      <c r="BQ52" s="1"/>
      <c r="BR52" s="1"/>
      <c r="BS52" s="1"/>
      <c r="BT52" s="1"/>
      <c r="BU52" s="1"/>
      <c r="BV52" s="1"/>
      <c r="BW52" s="1"/>
      <c r="BX52" s="1"/>
      <c r="BY52" s="1"/>
    </row>
    <row r="53" spans="1:77" ht="12" customHeight="1" x14ac:dyDescent="0.2">
      <c r="A53" s="90" t="s">
        <v>150</v>
      </c>
      <c r="B53" s="96">
        <f>B51-B52</f>
        <v>1.2971245951944308</v>
      </c>
      <c r="C53" s="93" t="s">
        <v>148</v>
      </c>
      <c r="D53" s="97" t="s">
        <v>151</v>
      </c>
      <c r="E53" s="9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AR53" s="1"/>
      <c r="AS53" s="12"/>
      <c r="AT53" s="1"/>
      <c r="AU53" s="12"/>
      <c r="AW53" s="98"/>
      <c r="AY53" s="99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38"/>
      <c r="BQ53" s="1"/>
      <c r="BR53" s="1"/>
      <c r="BS53" s="1"/>
      <c r="BT53" s="1"/>
      <c r="BU53" s="1"/>
      <c r="BV53" s="1"/>
      <c r="BW53" s="1"/>
      <c r="BX53" s="1"/>
      <c r="BY53" s="1"/>
    </row>
    <row r="54" spans="1:77" ht="12" customHeight="1" x14ac:dyDescent="0.2">
      <c r="A54" s="90" t="s">
        <v>25</v>
      </c>
      <c r="B54" s="93">
        <f>'Data Input'!B15</f>
        <v>1.1100000000000001</v>
      </c>
      <c r="C54" s="93" t="s">
        <v>26</v>
      </c>
      <c r="D54" s="93"/>
      <c r="E54" s="9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AR54" s="1"/>
      <c r="AS54" s="1"/>
      <c r="AT54" s="1"/>
      <c r="AU54" s="1"/>
      <c r="AV54" s="98"/>
      <c r="AW54" s="1"/>
      <c r="AX54" s="99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38"/>
      <c r="BQ54" s="1"/>
      <c r="BR54" s="1"/>
      <c r="BS54" s="1"/>
      <c r="BT54" s="1"/>
      <c r="BU54" s="1"/>
      <c r="BV54" s="1"/>
      <c r="BW54" s="1"/>
      <c r="BX54" s="1"/>
      <c r="BY54" s="1"/>
    </row>
    <row r="55" spans="1:77" ht="12" customHeight="1" x14ac:dyDescent="0.2">
      <c r="A55" s="90" t="s">
        <v>152</v>
      </c>
      <c r="B55" s="100">
        <f>B43</f>
        <v>7.1147906339882909E-3</v>
      </c>
      <c r="C55" s="93" t="s">
        <v>153</v>
      </c>
      <c r="D55" s="93"/>
      <c r="E55" s="9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AR55" s="1"/>
      <c r="AS55" s="37"/>
      <c r="AT55" s="1"/>
      <c r="AV55" s="98"/>
      <c r="AW55" s="1"/>
      <c r="AX55" s="99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38"/>
      <c r="BQ55" s="1"/>
      <c r="BR55" s="1"/>
      <c r="BS55" s="1"/>
      <c r="BT55" s="1"/>
      <c r="BU55" s="1"/>
      <c r="BV55" s="1"/>
      <c r="BW55" s="1"/>
      <c r="BX55" s="1"/>
      <c r="BY55" s="1"/>
    </row>
    <row r="56" spans="1:77" ht="12" customHeight="1" x14ac:dyDescent="0.2">
      <c r="A56" s="90" t="s">
        <v>12</v>
      </c>
      <c r="B56" s="101">
        <f>'Data Input'!B8</f>
        <v>17</v>
      </c>
      <c r="C56" s="93" t="s">
        <v>13</v>
      </c>
      <c r="D56" s="93"/>
      <c r="E56" s="97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AR56" s="14"/>
      <c r="AS56" s="102"/>
      <c r="AT56" s="14"/>
      <c r="AU56" s="99"/>
      <c r="AV56" s="98"/>
      <c r="AW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38"/>
      <c r="BQ56" s="1"/>
      <c r="BR56" s="1"/>
      <c r="BS56" s="1"/>
      <c r="BT56" s="1"/>
      <c r="BU56" s="1"/>
      <c r="BV56" s="1"/>
      <c r="BW56" s="1"/>
      <c r="BX56" s="1"/>
      <c r="BY56" s="1"/>
    </row>
    <row r="57" spans="1:77" ht="12" customHeight="1" x14ac:dyDescent="0.2">
      <c r="A57" s="90" t="s">
        <v>154</v>
      </c>
      <c r="B57" s="103">
        <f>'Data Input'!B35*'Data Input'!B36/1000000</f>
        <v>1.0290343161331487E-2</v>
      </c>
      <c r="C57" s="97" t="s">
        <v>59</v>
      </c>
      <c r="D57" s="97"/>
      <c r="E57" s="97"/>
      <c r="F57" s="14"/>
      <c r="G57" s="1"/>
      <c r="H57" s="104"/>
      <c r="I57" s="1"/>
      <c r="J57" s="1"/>
      <c r="K57" s="1"/>
      <c r="L57" s="1"/>
      <c r="M57" s="1"/>
      <c r="N57" s="1"/>
      <c r="O57" s="1"/>
      <c r="P57" s="1"/>
      <c r="Q57" s="1"/>
      <c r="R57" s="1"/>
      <c r="AR57" s="1"/>
      <c r="AT57" s="14"/>
      <c r="AU57" s="99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38"/>
      <c r="BQ57" s="1"/>
      <c r="BR57" s="1"/>
      <c r="BS57" s="1"/>
      <c r="BT57" s="1"/>
      <c r="BU57" s="1"/>
      <c r="BV57" s="1"/>
      <c r="BW57" s="1"/>
      <c r="BX57" s="1"/>
      <c r="BY57" s="1"/>
    </row>
    <row r="58" spans="1:77" ht="12" customHeight="1" x14ac:dyDescent="0.2">
      <c r="A58" s="90" t="s">
        <v>24</v>
      </c>
      <c r="B58" s="94">
        <f>'Data Input'!B14</f>
        <v>1</v>
      </c>
      <c r="C58" s="97"/>
      <c r="D58" s="97"/>
      <c r="E58" s="97"/>
      <c r="F58" s="14"/>
      <c r="G58" s="1"/>
      <c r="H58" s="104"/>
      <c r="I58" s="1"/>
      <c r="J58" s="1"/>
      <c r="K58" s="1"/>
      <c r="L58" s="1"/>
      <c r="M58" s="1"/>
      <c r="N58" s="1"/>
      <c r="O58" s="1"/>
      <c r="P58" s="1"/>
      <c r="Q58" s="1"/>
      <c r="R58" s="1"/>
      <c r="AR58" s="14"/>
      <c r="AS58" s="102"/>
      <c r="AT58" s="14"/>
      <c r="AU58" s="99"/>
      <c r="AV58" s="98"/>
      <c r="AW58" s="1"/>
      <c r="AX58" s="99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38"/>
      <c r="BQ58" s="1"/>
      <c r="BR58" s="1"/>
      <c r="BS58" s="1"/>
      <c r="BT58" s="1"/>
      <c r="BU58" s="1"/>
      <c r="BV58" s="1"/>
      <c r="BW58" s="1"/>
      <c r="BX58" s="1"/>
      <c r="BY58" s="1"/>
    </row>
    <row r="59" spans="1:77" ht="12" customHeight="1" x14ac:dyDescent="0.2">
      <c r="A59" s="90" t="s">
        <v>66</v>
      </c>
      <c r="B59" s="93">
        <f>'Data Input'!B42</f>
        <v>5</v>
      </c>
      <c r="C59" s="93"/>
      <c r="D59" s="97"/>
      <c r="E59" s="97"/>
      <c r="F59" s="14"/>
      <c r="G59" s="1"/>
      <c r="H59" s="104"/>
      <c r="I59" s="1"/>
      <c r="J59" s="1"/>
      <c r="K59" s="1"/>
      <c r="L59" s="1"/>
      <c r="M59" s="1"/>
      <c r="N59" s="1"/>
      <c r="O59" s="1"/>
      <c r="P59" s="1"/>
      <c r="Q59" s="1"/>
      <c r="R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38"/>
      <c r="BQ59" s="1"/>
      <c r="BR59" s="1"/>
      <c r="BS59" s="1"/>
      <c r="BT59" s="1"/>
      <c r="BU59" s="1"/>
      <c r="BV59" s="1"/>
      <c r="BW59" s="1"/>
      <c r="BX59" s="1"/>
      <c r="BY59" s="1"/>
    </row>
    <row r="60" spans="1:77" ht="12" customHeight="1" x14ac:dyDescent="0.2">
      <c r="A60" s="90" t="s">
        <v>68</v>
      </c>
      <c r="B60" s="93">
        <f>'Data Input'!B43</f>
        <v>1</v>
      </c>
      <c r="C60" s="93"/>
      <c r="D60" s="97"/>
      <c r="E60" s="97"/>
      <c r="F60" s="14"/>
      <c r="G60" s="1"/>
      <c r="H60" s="104"/>
      <c r="I60" s="1"/>
      <c r="J60" s="1"/>
      <c r="K60" s="1"/>
      <c r="L60" s="1"/>
      <c r="M60" s="1"/>
      <c r="N60" s="1"/>
      <c r="O60" s="1"/>
      <c r="P60" s="1"/>
      <c r="Q60" s="1"/>
      <c r="R60" s="1"/>
      <c r="AR60" s="1"/>
      <c r="AS60" s="1"/>
      <c r="AT60" s="1"/>
      <c r="AU60" s="1"/>
      <c r="AV60" s="1"/>
      <c r="AW60" s="1"/>
      <c r="AY60" s="37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38"/>
      <c r="BQ60" s="1"/>
      <c r="BR60" s="1"/>
      <c r="BS60" s="1"/>
      <c r="BT60" s="1"/>
      <c r="BU60" s="1"/>
      <c r="BV60" s="1"/>
      <c r="BW60" s="1"/>
      <c r="BX60" s="1"/>
      <c r="BY60" s="1"/>
    </row>
    <row r="61" spans="1:77" ht="12" customHeight="1" x14ac:dyDescent="0.2">
      <c r="A61" s="90" t="s">
        <v>70</v>
      </c>
      <c r="B61" s="93">
        <f>'Data Input'!B44</f>
        <v>6.35</v>
      </c>
      <c r="C61" s="93" t="s">
        <v>56</v>
      </c>
      <c r="D61" s="97"/>
      <c r="E61" s="97"/>
      <c r="F61" s="14"/>
      <c r="G61" s="1"/>
      <c r="H61" s="104"/>
      <c r="I61" s="1"/>
      <c r="J61" s="1"/>
      <c r="K61" s="1"/>
      <c r="L61" s="1"/>
      <c r="M61" s="1"/>
      <c r="N61" s="1"/>
      <c r="O61" s="1"/>
      <c r="P61" s="1"/>
      <c r="Q61" s="1"/>
      <c r="R61" s="1"/>
      <c r="AR61" s="1"/>
      <c r="AS61" s="1"/>
      <c r="AT61" s="1"/>
      <c r="AU61" s="1"/>
      <c r="AV61" s="1"/>
      <c r="AW61" s="1"/>
      <c r="AY61" s="37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38"/>
      <c r="BQ61" s="1"/>
      <c r="BR61" s="1"/>
      <c r="BS61" s="1"/>
      <c r="BT61" s="1"/>
      <c r="BU61" s="1"/>
      <c r="BV61" s="1"/>
      <c r="BW61" s="1"/>
      <c r="BX61" s="1"/>
      <c r="BY61" s="1"/>
    </row>
    <row r="62" spans="1:77" ht="12" customHeight="1" x14ac:dyDescent="0.2">
      <c r="A62" s="90" t="s">
        <v>72</v>
      </c>
      <c r="B62" s="93">
        <f>'Data Input'!B46</f>
        <v>1</v>
      </c>
      <c r="C62" s="93" t="s">
        <v>56</v>
      </c>
      <c r="D62" s="93"/>
      <c r="E62" s="97"/>
      <c r="F62" s="14"/>
      <c r="G62" s="1"/>
      <c r="H62" s="104"/>
      <c r="I62" s="1"/>
      <c r="J62" s="1"/>
      <c r="K62" s="1"/>
      <c r="L62" s="1"/>
      <c r="M62" s="1"/>
      <c r="N62" s="1"/>
      <c r="O62" s="1"/>
      <c r="P62" s="1"/>
      <c r="Q62" s="1"/>
      <c r="R62" s="1"/>
      <c r="AR62" s="1"/>
      <c r="AS62" s="99"/>
      <c r="AT62" s="1"/>
      <c r="AU62" s="1"/>
      <c r="AY62" s="27"/>
      <c r="BA62" s="37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38"/>
      <c r="BQ62" s="1"/>
      <c r="BR62" s="1"/>
      <c r="BS62" s="1"/>
      <c r="BT62" s="1"/>
      <c r="BU62" s="1"/>
      <c r="BV62" s="1"/>
      <c r="BW62" s="1"/>
      <c r="BX62" s="1"/>
      <c r="BY62" s="1"/>
    </row>
    <row r="63" spans="1:77" ht="12" customHeight="1" x14ac:dyDescent="0.2">
      <c r="A63" s="90"/>
      <c r="B63" s="94"/>
      <c r="C63" s="93"/>
      <c r="D63" s="97"/>
      <c r="E63" s="97"/>
      <c r="F63" s="14"/>
      <c r="G63" s="1"/>
      <c r="H63" s="104"/>
      <c r="I63" s="1"/>
      <c r="J63" s="1"/>
      <c r="K63" s="1"/>
      <c r="L63" s="1"/>
      <c r="M63" s="1"/>
      <c r="N63" s="1"/>
      <c r="O63" s="1"/>
      <c r="P63" s="1"/>
      <c r="Q63" s="1"/>
      <c r="R63" s="1"/>
      <c r="AR63" s="1"/>
      <c r="AS63" s="1"/>
      <c r="AT63" s="1"/>
      <c r="AU63" s="1"/>
      <c r="AV63" s="1"/>
      <c r="AW63" s="1"/>
      <c r="AY63" s="12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38"/>
      <c r="BQ63" s="1"/>
      <c r="BR63" s="1"/>
      <c r="BS63" s="1"/>
      <c r="BT63" s="1"/>
      <c r="BU63" s="1"/>
      <c r="BV63" s="1"/>
      <c r="BW63" s="1"/>
      <c r="BX63" s="1"/>
      <c r="BY63" s="1"/>
    </row>
    <row r="64" spans="1:77" ht="12" customHeight="1" x14ac:dyDescent="0.2">
      <c r="A64" s="90" t="s">
        <v>155</v>
      </c>
      <c r="B64" s="103"/>
      <c r="C64" s="97"/>
      <c r="D64" s="97"/>
      <c r="E64" s="97"/>
      <c r="F64" s="14"/>
      <c r="G64" s="1"/>
      <c r="H64" s="104"/>
      <c r="I64" s="1"/>
      <c r="J64" s="1"/>
      <c r="K64" s="1"/>
      <c r="L64" s="1"/>
      <c r="M64" s="1"/>
      <c r="N64" s="1"/>
      <c r="O64" s="1"/>
      <c r="P64" s="1"/>
      <c r="Q64" s="1"/>
      <c r="R64" s="1"/>
      <c r="AR64" s="1"/>
      <c r="AS64" s="26"/>
      <c r="AT64" s="1"/>
      <c r="AU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38"/>
      <c r="BQ64" s="1"/>
      <c r="BR64" s="1"/>
      <c r="BS64" s="1"/>
      <c r="BT64" s="1"/>
      <c r="BU64" s="1"/>
      <c r="BV64" s="1"/>
      <c r="BW64" s="1"/>
      <c r="BX64" s="1"/>
      <c r="BY64" s="1"/>
    </row>
    <row r="65" spans="1:77" ht="12" customHeight="1" x14ac:dyDescent="0.2">
      <c r="A65" s="90" t="s">
        <v>156</v>
      </c>
      <c r="B65" s="101">
        <f>B47+273</f>
        <v>1932.4667660758935</v>
      </c>
      <c r="C65" s="101">
        <f t="shared" ref="C65:J65" si="0">B65*($B52/B69)^0.4</f>
        <v>1525.4158942793331</v>
      </c>
      <c r="D65" s="101">
        <f t="shared" si="0"/>
        <v>1465.9089135745114</v>
      </c>
      <c r="E65" s="101">
        <f t="shared" si="0"/>
        <v>1451.7741644725581</v>
      </c>
      <c r="F65" s="101">
        <f t="shared" si="0"/>
        <v>1448.1993528766766</v>
      </c>
      <c r="G65" s="101">
        <f t="shared" si="0"/>
        <v>1447.2819584627625</v>
      </c>
      <c r="H65" s="101">
        <f t="shared" si="0"/>
        <v>1447.0456638891653</v>
      </c>
      <c r="I65" s="101">
        <f t="shared" si="0"/>
        <v>1446.9847438573997</v>
      </c>
      <c r="J65" s="101">
        <f t="shared" si="0"/>
        <v>1446.9690340184807</v>
      </c>
      <c r="K65" s="37"/>
      <c r="L65" s="1"/>
      <c r="M65" s="1"/>
      <c r="N65" s="1"/>
      <c r="O65" s="1"/>
      <c r="P65" s="1"/>
      <c r="Q65" s="1"/>
      <c r="R65" s="1"/>
      <c r="AR65" s="1"/>
      <c r="AS65" s="26"/>
      <c r="AT65" s="1"/>
      <c r="AU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38"/>
      <c r="BQ65" s="1"/>
      <c r="BR65" s="1"/>
      <c r="BS65" s="1"/>
      <c r="BT65" s="1"/>
      <c r="BU65" s="1"/>
      <c r="BV65" s="1"/>
      <c r="BW65" s="1"/>
      <c r="BX65" s="1"/>
      <c r="BY65" s="1"/>
    </row>
    <row r="66" spans="1:77" ht="12" customHeight="1" x14ac:dyDescent="0.2">
      <c r="A66" s="90" t="s">
        <v>157</v>
      </c>
      <c r="B66" s="105">
        <f t="shared" ref="B66:J66" si="1">B65</f>
        <v>1932.4667660758935</v>
      </c>
      <c r="C66" s="101">
        <f t="shared" si="1"/>
        <v>1525.4158942793331</v>
      </c>
      <c r="D66" s="101">
        <f t="shared" si="1"/>
        <v>1465.9089135745114</v>
      </c>
      <c r="E66" s="101">
        <f t="shared" si="1"/>
        <v>1451.7741644725581</v>
      </c>
      <c r="F66" s="101">
        <f t="shared" si="1"/>
        <v>1448.1993528766766</v>
      </c>
      <c r="G66" s="101">
        <f t="shared" si="1"/>
        <v>1447.2819584627625</v>
      </c>
      <c r="H66" s="101">
        <f t="shared" si="1"/>
        <v>1447.0456638891653</v>
      </c>
      <c r="I66" s="101">
        <f t="shared" si="1"/>
        <v>1446.9847438573997</v>
      </c>
      <c r="J66" s="101">
        <f t="shared" si="1"/>
        <v>1446.9690340184807</v>
      </c>
      <c r="K66" s="1"/>
      <c r="L66" s="1"/>
      <c r="M66" s="1"/>
      <c r="N66" s="1"/>
      <c r="O66" s="1"/>
      <c r="P66" s="1"/>
      <c r="Q66" s="1"/>
      <c r="R66" s="1"/>
      <c r="AR66" s="1"/>
      <c r="AU66" s="14"/>
      <c r="AV66" s="28"/>
      <c r="AW66" s="28"/>
      <c r="AX66" s="28"/>
      <c r="AY66" s="28"/>
      <c r="AZ66" s="28"/>
      <c r="BA66" s="28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06"/>
      <c r="BQ66" s="14"/>
      <c r="BR66" s="14"/>
      <c r="BS66" s="14"/>
      <c r="BT66" s="14"/>
      <c r="BU66" s="14"/>
      <c r="BV66" s="14"/>
      <c r="BW66" s="1"/>
      <c r="BX66" s="1"/>
      <c r="BY66" s="1"/>
    </row>
    <row r="67" spans="1:77" ht="12" customHeight="1" x14ac:dyDescent="0.2">
      <c r="A67" s="90" t="s">
        <v>158</v>
      </c>
      <c r="B67" s="91">
        <f>0.000000056703*B$58*(B65^4-(B$6+273)^4)*($B57)/1000</f>
        <v>8.1166679602335527</v>
      </c>
      <c r="C67" s="91">
        <f t="shared" ref="C67:J67" si="2">0.000000056703*$B$58*(C65^4-($B$6+273)^4)*($B57)/1000</f>
        <v>3.138584741326619</v>
      </c>
      <c r="D67" s="91">
        <f t="shared" si="2"/>
        <v>2.6737095547395975</v>
      </c>
      <c r="E67" s="91">
        <f t="shared" si="2"/>
        <v>2.5712815895665782</v>
      </c>
      <c r="F67" s="91">
        <f t="shared" si="2"/>
        <v>2.5458459997540568</v>
      </c>
      <c r="G67" s="91">
        <f t="shared" si="2"/>
        <v>2.5393488282270904</v>
      </c>
      <c r="H67" s="91">
        <f t="shared" si="2"/>
        <v>2.5376773423234806</v>
      </c>
      <c r="I67" s="91">
        <f t="shared" si="2"/>
        <v>2.5372465427246702</v>
      </c>
      <c r="J67" s="91">
        <f t="shared" si="2"/>
        <v>2.5371354584964774</v>
      </c>
      <c r="K67" s="1"/>
      <c r="L67" s="1"/>
      <c r="M67" s="1"/>
      <c r="N67" s="1"/>
      <c r="O67" s="1"/>
      <c r="P67" s="1"/>
      <c r="Q67" s="1"/>
      <c r="R67" s="1"/>
      <c r="AR67" s="1"/>
      <c r="AS67" s="26"/>
      <c r="AT67" s="1"/>
      <c r="AU67" s="14"/>
      <c r="AV67" s="14"/>
      <c r="AW67" s="14"/>
      <c r="AX67" s="107"/>
      <c r="AY67" s="14"/>
      <c r="AZ67" s="108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06"/>
      <c r="BQ67" s="14"/>
      <c r="BR67" s="14"/>
      <c r="BS67" s="14"/>
      <c r="BT67" s="14"/>
      <c r="BU67" s="14"/>
      <c r="BV67" s="14"/>
      <c r="BX67" s="1"/>
      <c r="BY67" s="1"/>
    </row>
    <row r="68" spans="1:77" ht="12" customHeight="1" x14ac:dyDescent="0.2">
      <c r="A68" s="90" t="s">
        <v>159</v>
      </c>
      <c r="B68" s="91">
        <f t="shared" ref="B68:J68" si="3">(B66-273-$B56)*$B55*$B54</f>
        <v>12.971245951944324</v>
      </c>
      <c r="C68" s="91">
        <f t="shared" si="3"/>
        <v>9.7565952314057434</v>
      </c>
      <c r="D68" s="91">
        <f t="shared" si="3"/>
        <v>9.2866437544428404</v>
      </c>
      <c r="E68" s="91">
        <f t="shared" si="3"/>
        <v>9.1750157380608126</v>
      </c>
      <c r="F68" s="91">
        <f t="shared" si="3"/>
        <v>9.14678395803349</v>
      </c>
      <c r="G68" s="91">
        <f t="shared" si="3"/>
        <v>9.1395389112394838</v>
      </c>
      <c r="H68" s="91">
        <f t="shared" si="3"/>
        <v>9.1376727943142928</v>
      </c>
      <c r="I68" s="91">
        <f t="shared" si="3"/>
        <v>9.1371916833830067</v>
      </c>
      <c r="J68" s="91">
        <f t="shared" si="3"/>
        <v>9.1370676162245754</v>
      </c>
      <c r="K68" s="1"/>
      <c r="L68" s="1"/>
      <c r="M68" s="1"/>
      <c r="N68" s="1"/>
      <c r="O68" s="1"/>
      <c r="P68" s="1"/>
      <c r="Q68" s="1"/>
      <c r="R68" s="1"/>
      <c r="AR68" s="1"/>
      <c r="AS68" s="26"/>
      <c r="AT68" s="1"/>
      <c r="AU68" s="28"/>
      <c r="AV68" s="14"/>
      <c r="AW68" s="109"/>
      <c r="AX68" s="14"/>
      <c r="AY68" s="110"/>
      <c r="AZ68" s="14"/>
      <c r="BA68" s="14"/>
      <c r="BB68" s="14"/>
      <c r="BC68" s="14"/>
      <c r="BD68" s="14"/>
      <c r="BE68" s="14"/>
      <c r="BF68" s="111"/>
      <c r="BG68" s="14"/>
      <c r="BH68" s="14"/>
      <c r="BI68" s="14"/>
      <c r="BJ68" s="14"/>
      <c r="BK68" s="14"/>
      <c r="BL68" s="14"/>
      <c r="BM68" s="111"/>
      <c r="BN68" s="14"/>
      <c r="BO68" s="14"/>
      <c r="BP68" s="106"/>
      <c r="BQ68" s="14"/>
      <c r="BR68" s="14"/>
      <c r="BS68" s="14"/>
      <c r="BT68" s="110"/>
      <c r="BU68" s="14"/>
      <c r="BV68" s="14"/>
      <c r="BW68" s="14"/>
      <c r="BX68" s="14"/>
      <c r="BY68" s="1"/>
    </row>
    <row r="69" spans="1:77" ht="12" customHeight="1" x14ac:dyDescent="0.2">
      <c r="A69" s="90" t="s">
        <v>146</v>
      </c>
      <c r="B69" s="91">
        <f t="shared" ref="B69:J69" si="4">B68+B67</f>
        <v>21.087913912177875</v>
      </c>
      <c r="C69" s="91">
        <f t="shared" si="4"/>
        <v>12.895179972732363</v>
      </c>
      <c r="D69" s="91">
        <f t="shared" si="4"/>
        <v>11.960353309182437</v>
      </c>
      <c r="E69" s="91">
        <f t="shared" si="4"/>
        <v>11.74629732762739</v>
      </c>
      <c r="F69" s="91">
        <f t="shared" si="4"/>
        <v>11.692629957787547</v>
      </c>
      <c r="G69" s="91">
        <f t="shared" si="4"/>
        <v>11.678887739466575</v>
      </c>
      <c r="H69" s="91">
        <f t="shared" si="4"/>
        <v>11.675350136637773</v>
      </c>
      <c r="I69" s="91">
        <f t="shared" si="4"/>
        <v>11.674438226107677</v>
      </c>
      <c r="J69" s="91">
        <f t="shared" si="4"/>
        <v>11.674203074721053</v>
      </c>
      <c r="K69" s="1"/>
      <c r="L69" s="1"/>
      <c r="M69" s="1"/>
      <c r="N69" s="1"/>
      <c r="O69" s="1"/>
      <c r="P69" s="1"/>
      <c r="Q69" s="1"/>
      <c r="R69" s="1"/>
      <c r="AR69" s="89"/>
      <c r="AS69" s="112"/>
      <c r="AT69" s="112"/>
      <c r="AU69" s="28"/>
      <c r="AV69" s="109"/>
      <c r="AW69" s="109"/>
      <c r="AX69" s="109"/>
      <c r="AY69" s="110"/>
      <c r="AZ69" s="109"/>
      <c r="BA69" s="109"/>
      <c r="BB69" s="109"/>
      <c r="BC69" s="109"/>
      <c r="BD69" s="109"/>
      <c r="BE69" s="109"/>
      <c r="BF69" s="110"/>
      <c r="BG69" s="109"/>
      <c r="BH69" s="109"/>
      <c r="BI69" s="109"/>
      <c r="BJ69" s="109"/>
      <c r="BK69" s="109"/>
      <c r="BL69" s="109"/>
      <c r="BM69" s="110"/>
      <c r="BN69" s="109"/>
      <c r="BO69" s="109"/>
      <c r="BP69" s="113"/>
      <c r="BQ69" s="109"/>
      <c r="BR69" s="109"/>
      <c r="BS69" s="109"/>
      <c r="BT69" s="110"/>
      <c r="BU69" s="109"/>
      <c r="BV69" s="109"/>
      <c r="BW69" s="109"/>
      <c r="BX69" s="109"/>
      <c r="BY69" s="1"/>
    </row>
    <row r="70" spans="1:77" ht="12" customHeight="1" x14ac:dyDescent="0.2">
      <c r="A70" s="90"/>
      <c r="B70" s="91"/>
      <c r="C70" s="91"/>
      <c r="D70" s="91"/>
      <c r="E70" s="91"/>
      <c r="F70" s="91"/>
      <c r="G70" s="91"/>
      <c r="H70" s="91"/>
      <c r="I70" s="91"/>
      <c r="J70" s="91"/>
      <c r="K70" s="1"/>
      <c r="L70" s="1"/>
      <c r="M70" s="1"/>
      <c r="N70" s="1"/>
      <c r="O70" s="1"/>
      <c r="P70" s="1"/>
      <c r="Q70" s="1"/>
      <c r="R70" s="1"/>
      <c r="AR70" s="89"/>
      <c r="AS70" s="112"/>
      <c r="AT70" s="112"/>
      <c r="AU70" s="28"/>
      <c r="AV70" s="109"/>
      <c r="AW70" s="109"/>
      <c r="AX70" s="109"/>
      <c r="AY70" s="110"/>
      <c r="AZ70" s="109"/>
      <c r="BA70" s="109"/>
      <c r="BB70" s="109"/>
      <c r="BC70" s="109"/>
      <c r="BD70" s="109"/>
      <c r="BE70" s="109"/>
      <c r="BF70" s="110"/>
      <c r="BG70" s="109"/>
      <c r="BH70" s="109"/>
      <c r="BI70" s="109"/>
      <c r="BJ70" s="109"/>
      <c r="BK70" s="109"/>
      <c r="BL70" s="109"/>
      <c r="BM70" s="110"/>
      <c r="BN70" s="109"/>
      <c r="BO70" s="109"/>
      <c r="BP70" s="113"/>
      <c r="BQ70" s="109"/>
      <c r="BR70" s="109"/>
      <c r="BS70" s="109"/>
      <c r="BT70" s="110"/>
      <c r="BU70" s="109"/>
      <c r="BV70" s="109"/>
      <c r="BW70" s="109"/>
      <c r="BX70" s="109"/>
      <c r="BY70" s="1"/>
    </row>
    <row r="71" spans="1:77" ht="12" customHeight="1" x14ac:dyDescent="0.2">
      <c r="A71" s="90" t="s">
        <v>160</v>
      </c>
      <c r="B71" s="114">
        <f>J66-273</f>
        <v>1173.9690340184807</v>
      </c>
      <c r="C71" s="91" t="s">
        <v>13</v>
      </c>
      <c r="D71" s="91" t="s">
        <v>161</v>
      </c>
      <c r="E71" s="91"/>
      <c r="F71" s="91"/>
      <c r="G71" s="91"/>
      <c r="H71" s="91"/>
      <c r="I71" s="91"/>
      <c r="J71" s="91"/>
      <c r="K71" s="1"/>
      <c r="L71" s="1"/>
      <c r="M71" s="1"/>
      <c r="N71" s="1"/>
      <c r="O71" s="1"/>
      <c r="P71" s="1"/>
      <c r="Q71" s="1"/>
      <c r="R71" s="1"/>
      <c r="AR71" s="89"/>
      <c r="AS71" s="112"/>
      <c r="AT71" s="112"/>
      <c r="AU71" s="28"/>
      <c r="AV71" s="109"/>
      <c r="AW71" s="109"/>
      <c r="AX71" s="109"/>
      <c r="AY71" s="110"/>
      <c r="AZ71" s="109"/>
      <c r="BA71" s="109"/>
      <c r="BB71" s="109"/>
      <c r="BC71" s="109"/>
      <c r="BD71" s="109"/>
      <c r="BE71" s="109"/>
      <c r="BF71" s="110"/>
      <c r="BG71" s="109"/>
      <c r="BH71" s="109"/>
      <c r="BI71" s="109"/>
      <c r="BJ71" s="109"/>
      <c r="BK71" s="109"/>
      <c r="BL71" s="109"/>
      <c r="BM71" s="110"/>
      <c r="BN71" s="109"/>
      <c r="BO71" s="109"/>
      <c r="BP71" s="113"/>
      <c r="BQ71" s="109"/>
      <c r="BR71" s="109"/>
      <c r="BS71" s="109"/>
      <c r="BT71" s="110"/>
      <c r="BU71" s="109"/>
      <c r="BV71" s="109"/>
      <c r="BW71" s="109"/>
      <c r="BX71" s="109"/>
      <c r="BY71" s="1"/>
    </row>
    <row r="72" spans="1:77" ht="12" customHeight="1" x14ac:dyDescent="0.2">
      <c r="A72" s="90"/>
      <c r="B72" s="94"/>
      <c r="C72" s="94"/>
      <c r="D72" s="94"/>
      <c r="E72" s="94"/>
      <c r="F72" s="94"/>
      <c r="G72" s="94"/>
      <c r="H72" s="94"/>
      <c r="I72" s="94"/>
      <c r="J72" s="94"/>
      <c r="K72" s="1"/>
      <c r="L72" s="1"/>
      <c r="M72" s="1"/>
      <c r="N72" s="1"/>
      <c r="O72" s="1"/>
      <c r="P72" s="1"/>
      <c r="Q72" s="1"/>
      <c r="R72" s="1"/>
      <c r="AR72" s="115"/>
      <c r="AS72" s="112"/>
      <c r="AT72" s="115"/>
      <c r="AU72" s="28"/>
      <c r="AV72" s="109"/>
      <c r="AW72" s="109"/>
      <c r="AX72" s="109"/>
      <c r="AY72" s="110"/>
      <c r="AZ72" s="116"/>
      <c r="BA72" s="116"/>
      <c r="BB72" s="116"/>
      <c r="BC72" s="116"/>
      <c r="BD72" s="116"/>
      <c r="BE72" s="116"/>
      <c r="BF72" s="110"/>
      <c r="BG72" s="116"/>
      <c r="BH72" s="116"/>
      <c r="BI72" s="116"/>
      <c r="BJ72" s="116"/>
      <c r="BK72" s="116"/>
      <c r="BL72" s="116"/>
      <c r="BM72" s="110"/>
      <c r="BN72" s="116"/>
      <c r="BO72" s="116"/>
      <c r="BP72" s="117"/>
      <c r="BQ72" s="116"/>
      <c r="BR72" s="116"/>
      <c r="BS72" s="116"/>
      <c r="BT72" s="110"/>
      <c r="BU72" s="116"/>
      <c r="BV72" s="116"/>
      <c r="BW72" s="116"/>
      <c r="BX72" s="116"/>
      <c r="BY72" s="1"/>
    </row>
    <row r="73" spans="1:77" ht="12" customHeight="1" x14ac:dyDescent="0.2">
      <c r="A73" s="90" t="s">
        <v>162</v>
      </c>
      <c r="B73" s="94"/>
      <c r="C73" s="94"/>
      <c r="D73" s="94"/>
      <c r="E73" s="94"/>
      <c r="F73" s="94"/>
      <c r="G73" s="94"/>
      <c r="H73" s="94"/>
      <c r="I73" s="94"/>
      <c r="J73" s="94"/>
      <c r="K73" s="1"/>
      <c r="L73" s="1"/>
      <c r="M73" s="1"/>
      <c r="N73" s="1"/>
      <c r="O73" s="1"/>
      <c r="P73" s="1"/>
      <c r="Q73" s="1"/>
      <c r="R73" s="1"/>
      <c r="AR73" s="115"/>
      <c r="AS73" s="112"/>
      <c r="AT73" s="115"/>
      <c r="AU73" s="28"/>
      <c r="AV73" s="109"/>
      <c r="AW73" s="116"/>
      <c r="AX73" s="109"/>
      <c r="AY73" s="110"/>
      <c r="AZ73" s="116"/>
      <c r="BA73" s="116"/>
      <c r="BB73" s="116"/>
      <c r="BC73" s="116"/>
      <c r="BD73" s="116"/>
      <c r="BE73" s="116"/>
      <c r="BF73" s="110"/>
      <c r="BG73" s="116"/>
      <c r="BH73" s="116"/>
      <c r="BI73" s="116"/>
      <c r="BJ73" s="116"/>
      <c r="BK73" s="116"/>
      <c r="BL73" s="116"/>
      <c r="BM73" s="110"/>
      <c r="BN73" s="116"/>
      <c r="BO73" s="116"/>
      <c r="BP73" s="117"/>
      <c r="BQ73" s="116"/>
      <c r="BR73" s="116"/>
      <c r="BS73" s="116"/>
      <c r="BT73" s="110"/>
      <c r="BU73" s="116"/>
      <c r="BV73" s="116"/>
      <c r="BW73" s="116"/>
      <c r="BX73" s="116"/>
      <c r="BY73" s="1"/>
    </row>
    <row r="74" spans="1:77" ht="12" customHeight="1" x14ac:dyDescent="0.2">
      <c r="A74" s="90" t="s">
        <v>163</v>
      </c>
      <c r="B74" s="94"/>
      <c r="C74" s="94"/>
      <c r="D74" s="94"/>
      <c r="E74" s="94"/>
      <c r="F74" s="94"/>
      <c r="G74" s="94"/>
      <c r="H74" s="94"/>
      <c r="I74" s="94"/>
      <c r="J74" s="94"/>
      <c r="K74" s="1"/>
      <c r="L74" s="1"/>
      <c r="M74" s="1"/>
      <c r="N74" s="1"/>
      <c r="O74" s="1"/>
      <c r="P74" s="1"/>
      <c r="Q74" s="1"/>
      <c r="R74" s="1"/>
      <c r="AR74" s="89"/>
      <c r="AS74" s="26"/>
      <c r="AT74" s="118"/>
      <c r="AU74" s="28"/>
      <c r="AV74" s="119"/>
      <c r="AW74" s="120"/>
      <c r="AX74" s="108"/>
      <c r="AY74" s="121"/>
      <c r="AZ74" s="122"/>
      <c r="BA74" s="123"/>
      <c r="BB74" s="108"/>
      <c r="BC74" s="124"/>
      <c r="BD74" s="122"/>
      <c r="BE74" s="102"/>
      <c r="BF74" s="121"/>
      <c r="BG74" s="122"/>
      <c r="BH74" s="123"/>
      <c r="BI74" s="108"/>
      <c r="BJ74" s="124"/>
      <c r="BK74" s="122"/>
      <c r="BL74" s="102"/>
      <c r="BM74" s="121"/>
      <c r="BN74" s="122"/>
      <c r="BO74" s="123"/>
      <c r="BP74" s="125"/>
      <c r="BQ74" s="124"/>
      <c r="BR74" s="122"/>
      <c r="BS74" s="102"/>
      <c r="BT74" s="121"/>
      <c r="BU74" s="122"/>
      <c r="BV74" s="123"/>
      <c r="BW74" s="108"/>
      <c r="BX74" s="124"/>
      <c r="BY74" s="1"/>
    </row>
    <row r="75" spans="1:77" ht="12" customHeight="1" x14ac:dyDescent="0.2">
      <c r="A75" s="90" t="s">
        <v>164</v>
      </c>
      <c r="B75" s="94">
        <f>SQRT('Data Input'!B35*'Data Input'!B36*4/PI())</f>
        <v>114.46428194813566</v>
      </c>
      <c r="C75" s="93" t="s">
        <v>56</v>
      </c>
      <c r="D75" s="94" t="s">
        <v>165</v>
      </c>
      <c r="E75" s="94"/>
      <c r="F75" s="94"/>
      <c r="G75" s="94"/>
      <c r="H75" s="94"/>
      <c r="I75" s="94"/>
      <c r="J75" s="93"/>
      <c r="K75" s="1"/>
      <c r="L75" s="1"/>
      <c r="M75" s="1"/>
      <c r="N75" s="1"/>
      <c r="O75" s="1"/>
      <c r="P75" s="1"/>
      <c r="Q75" s="1"/>
      <c r="R75" s="1"/>
      <c r="AR75" s="89"/>
      <c r="AS75" s="26"/>
      <c r="AT75" s="118"/>
      <c r="AU75" s="28"/>
      <c r="AV75" s="119"/>
      <c r="AW75" s="120"/>
      <c r="AX75" s="108"/>
      <c r="AY75" s="121"/>
      <c r="AZ75" s="122"/>
      <c r="BA75" s="123"/>
      <c r="BB75" s="108"/>
      <c r="BC75" s="124"/>
      <c r="BD75" s="122"/>
      <c r="BE75" s="102"/>
      <c r="BF75" s="121"/>
      <c r="BG75" s="122"/>
      <c r="BH75" s="123"/>
      <c r="BI75" s="108"/>
      <c r="BJ75" s="124"/>
      <c r="BK75" s="122"/>
      <c r="BL75" s="102"/>
      <c r="BM75" s="121"/>
      <c r="BN75" s="122"/>
      <c r="BO75" s="123"/>
      <c r="BP75" s="125"/>
      <c r="BQ75" s="124"/>
      <c r="BR75" s="122"/>
      <c r="BS75" s="102"/>
      <c r="BT75" s="121"/>
      <c r="BU75" s="122"/>
      <c r="BV75" s="123"/>
      <c r="BW75" s="108"/>
      <c r="BX75" s="124"/>
      <c r="BY75" s="1"/>
    </row>
    <row r="76" spans="1:77" ht="12" customHeight="1" x14ac:dyDescent="0.2">
      <c r="A76" s="90" t="s">
        <v>166</v>
      </c>
      <c r="B76" s="94">
        <f>('Data Input'!B37*1000000-B75^2*PI()/4)/(B75*PI())</f>
        <v>163.71262896187113</v>
      </c>
      <c r="C76" s="93" t="s">
        <v>56</v>
      </c>
      <c r="D76" s="93"/>
      <c r="E76" s="93"/>
      <c r="F76" s="14"/>
      <c r="G76" s="1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AR76" s="1"/>
      <c r="AS76" s="1"/>
      <c r="AU76" s="126"/>
      <c r="AV76" s="127"/>
      <c r="AW76" s="14"/>
      <c r="AX76" s="107"/>
      <c r="AY76" s="14"/>
      <c r="AZ76" s="108"/>
      <c r="BA76" s="14"/>
      <c r="BB76" s="14"/>
      <c r="BC76" s="14"/>
      <c r="BD76" s="14"/>
      <c r="BE76" s="102"/>
      <c r="BF76" s="14"/>
      <c r="BG76" s="14"/>
      <c r="BH76" s="14"/>
      <c r="BI76" s="14"/>
      <c r="BJ76" s="14"/>
      <c r="BK76" s="14"/>
      <c r="BL76" s="102"/>
      <c r="BM76" s="14"/>
      <c r="BN76" s="14"/>
      <c r="BO76" s="14"/>
      <c r="BP76" s="106"/>
      <c r="BQ76" s="14"/>
      <c r="BR76" s="14"/>
      <c r="BS76" s="102"/>
      <c r="BT76" s="14"/>
      <c r="BU76" s="14"/>
      <c r="BV76" s="14"/>
      <c r="BX76" s="1"/>
      <c r="BY76" s="1"/>
    </row>
    <row r="77" spans="1:77" ht="12" customHeight="1" x14ac:dyDescent="0.2">
      <c r="A77" s="90" t="s">
        <v>58</v>
      </c>
      <c r="B77" s="103">
        <f>'Data Input'!B37</f>
        <v>6.916142864543795E-2</v>
      </c>
      <c r="C77" s="93" t="s">
        <v>59</v>
      </c>
      <c r="D77" s="93"/>
      <c r="E77" s="93"/>
      <c r="F77" s="14"/>
      <c r="G77" s="1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AR77" s="1"/>
      <c r="AS77" s="1"/>
      <c r="AU77" s="126"/>
      <c r="AV77" s="14"/>
      <c r="AW77" s="14"/>
      <c r="AX77" s="107"/>
      <c r="AY77" s="14"/>
      <c r="AZ77" s="108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06"/>
      <c r="BQ77" s="14"/>
      <c r="BR77" s="14"/>
      <c r="BS77" s="14"/>
      <c r="BT77" s="14"/>
      <c r="BU77" s="14"/>
      <c r="BV77" s="14"/>
      <c r="BX77" s="1"/>
      <c r="BY77" s="1"/>
    </row>
    <row r="78" spans="1:77" ht="12" customHeight="1" x14ac:dyDescent="0.2">
      <c r="A78" s="90" t="s">
        <v>28</v>
      </c>
      <c r="B78" s="91">
        <f>'Data Input'!B16</f>
        <v>0.9</v>
      </c>
      <c r="C78" s="93" t="s">
        <v>29</v>
      </c>
      <c r="D78" s="93"/>
      <c r="E78" s="93"/>
      <c r="F78" s="14"/>
      <c r="G78" s="14"/>
      <c r="H78" s="1"/>
      <c r="I78" s="1"/>
      <c r="J78" s="1"/>
      <c r="K78" s="1"/>
      <c r="L78" s="1"/>
      <c r="M78" s="1"/>
      <c r="N78" s="128"/>
      <c r="O78" s="1"/>
      <c r="P78" s="1"/>
      <c r="Q78" s="1"/>
      <c r="R78" s="1"/>
      <c r="AW78" s="1"/>
      <c r="AX78" s="129"/>
      <c r="AY78" s="1"/>
      <c r="AZ78" s="13"/>
      <c r="BA78" s="1"/>
      <c r="BB78" s="1"/>
      <c r="BC78" s="1"/>
      <c r="BD78" s="1"/>
      <c r="BE78" s="13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38"/>
      <c r="BQ78" s="1"/>
      <c r="BR78" s="1"/>
      <c r="BS78" s="1"/>
      <c r="BT78" s="1"/>
      <c r="BU78" s="1"/>
      <c r="BV78" s="1"/>
      <c r="BX78" s="1"/>
      <c r="BY78" s="1"/>
    </row>
    <row r="79" spans="1:77" ht="12" customHeight="1" x14ac:dyDescent="0.2">
      <c r="A79" s="90" t="s">
        <v>31</v>
      </c>
      <c r="B79" s="94">
        <f>'Data Input'!B17</f>
        <v>1.6</v>
      </c>
      <c r="C79" s="93"/>
      <c r="D79" s="93"/>
      <c r="E79" s="93"/>
      <c r="F79" s="14"/>
      <c r="G79" s="14"/>
      <c r="H79" s="1"/>
      <c r="I79" s="1"/>
      <c r="J79" s="1"/>
      <c r="K79" s="1"/>
      <c r="L79" s="1"/>
      <c r="M79" s="1"/>
      <c r="N79" s="128"/>
      <c r="O79" s="1"/>
      <c r="P79" s="1"/>
      <c r="Q79" s="1"/>
      <c r="R79" s="1"/>
      <c r="AS79" s="1"/>
      <c r="AT79" s="129"/>
      <c r="AU79" s="1"/>
      <c r="AV79" s="13"/>
      <c r="AW79" s="1"/>
      <c r="AX79" s="1"/>
      <c r="AY79" s="1"/>
      <c r="AZ79" s="1"/>
      <c r="BA79" s="13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38"/>
      <c r="BQ79" s="1"/>
      <c r="BR79" s="1"/>
      <c r="BX79" s="1"/>
      <c r="BY79" s="1"/>
    </row>
    <row r="80" spans="1:77" ht="12" customHeight="1" x14ac:dyDescent="0.2">
      <c r="A80" s="90" t="s">
        <v>167</v>
      </c>
      <c r="B80" s="105">
        <f>B6+273</f>
        <v>434.00127538118977</v>
      </c>
      <c r="C80" s="97" t="s">
        <v>168</v>
      </c>
      <c r="D80" s="93"/>
      <c r="E80" s="93"/>
      <c r="F80" s="14"/>
      <c r="G80" s="1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AM80" s="1"/>
      <c r="AN80" s="1"/>
      <c r="AQ80" s="130"/>
      <c r="AR80" s="1"/>
      <c r="AS80" s="1"/>
      <c r="AT80" s="129"/>
      <c r="AU80" s="1"/>
      <c r="AV80" s="13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38"/>
      <c r="BQ80" s="1"/>
      <c r="BR80" s="1"/>
      <c r="BX80" s="1"/>
      <c r="BY80" s="1"/>
    </row>
    <row r="81" spans="1:77" ht="12" customHeight="1" x14ac:dyDescent="0.2">
      <c r="A81" s="90"/>
      <c r="B81" s="97"/>
      <c r="C81" s="97"/>
      <c r="D81" s="131" t="s">
        <v>169</v>
      </c>
      <c r="E81" s="131" t="s">
        <v>170</v>
      </c>
      <c r="F81" s="97"/>
      <c r="G81" s="93"/>
      <c r="H81" s="93"/>
      <c r="I81" s="97"/>
      <c r="J81" s="131" t="s">
        <v>171</v>
      </c>
      <c r="K81" s="131" t="s">
        <v>172</v>
      </c>
      <c r="L81" s="131" t="s">
        <v>173</v>
      </c>
      <c r="M81" s="131" t="s">
        <v>174</v>
      </c>
      <c r="N81" s="131" t="s">
        <v>174</v>
      </c>
      <c r="O81" s="131" t="s">
        <v>174</v>
      </c>
      <c r="P81" s="131" t="s">
        <v>174</v>
      </c>
      <c r="Q81" s="131" t="s">
        <v>174</v>
      </c>
      <c r="R81" s="131" t="s">
        <v>174</v>
      </c>
      <c r="S81" s="131" t="s">
        <v>174</v>
      </c>
      <c r="T81" s="131" t="s">
        <v>174</v>
      </c>
      <c r="U81" s="131" t="s">
        <v>174</v>
      </c>
      <c r="V81" s="131" t="s">
        <v>174</v>
      </c>
      <c r="W81" s="131" t="s">
        <v>174</v>
      </c>
      <c r="X81" s="131" t="s">
        <v>174</v>
      </c>
      <c r="Y81" s="131" t="s">
        <v>174</v>
      </c>
      <c r="Z81" s="131" t="s">
        <v>174</v>
      </c>
      <c r="AA81" s="131" t="s">
        <v>174</v>
      </c>
      <c r="AB81" s="131" t="s">
        <v>174</v>
      </c>
      <c r="AC81" s="131" t="s">
        <v>174</v>
      </c>
      <c r="AD81" s="131" t="s">
        <v>174</v>
      </c>
      <c r="AE81" s="131" t="s">
        <v>174</v>
      </c>
      <c r="AF81" s="131" t="s">
        <v>174</v>
      </c>
      <c r="AG81" s="131" t="s">
        <v>174</v>
      </c>
      <c r="AH81" s="131" t="s">
        <v>174</v>
      </c>
      <c r="AI81" s="131" t="s">
        <v>174</v>
      </c>
      <c r="AJ81" s="131" t="s">
        <v>174</v>
      </c>
      <c r="AK81" s="131" t="s">
        <v>174</v>
      </c>
      <c r="AL81" s="131" t="s">
        <v>174</v>
      </c>
      <c r="AM81" s="1"/>
      <c r="AN81" s="95"/>
      <c r="AO81" s="1"/>
      <c r="AP81" s="1"/>
      <c r="AQ81" s="132" t="s">
        <v>175</v>
      </c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9" t="s">
        <v>176</v>
      </c>
      <c r="BI81" s="132"/>
      <c r="BJ81" s="132"/>
      <c r="BK81" s="132" t="s">
        <v>177</v>
      </c>
      <c r="BL81" s="131" t="s">
        <v>178</v>
      </c>
      <c r="BM81" s="97"/>
      <c r="BN81" s="131" t="s">
        <v>179</v>
      </c>
      <c r="BO81" s="133" t="s">
        <v>180</v>
      </c>
      <c r="BP81" s="134" t="s">
        <v>181</v>
      </c>
      <c r="BQ81" s="132" t="s">
        <v>177</v>
      </c>
      <c r="BR81" s="131" t="s">
        <v>178</v>
      </c>
      <c r="BS81" s="97"/>
      <c r="BT81" s="131" t="s">
        <v>179</v>
      </c>
      <c r="BU81" s="135"/>
      <c r="BW81" s="1"/>
      <c r="BX81" s="1"/>
      <c r="BY81" s="1"/>
    </row>
    <row r="82" spans="1:77" ht="12" customHeight="1" x14ac:dyDescent="0.2">
      <c r="A82" s="90" t="s">
        <v>182</v>
      </c>
      <c r="B82" s="131" t="s">
        <v>183</v>
      </c>
      <c r="C82" s="131" t="s">
        <v>184</v>
      </c>
      <c r="D82" s="131" t="s">
        <v>185</v>
      </c>
      <c r="E82" s="131" t="s">
        <v>186</v>
      </c>
      <c r="F82" s="136" t="s">
        <v>187</v>
      </c>
      <c r="G82" s="137" t="s">
        <v>188</v>
      </c>
      <c r="H82" s="131" t="s">
        <v>189</v>
      </c>
      <c r="I82" s="131" t="s">
        <v>190</v>
      </c>
      <c r="J82" s="131" t="s">
        <v>191</v>
      </c>
      <c r="K82" s="131" t="s">
        <v>191</v>
      </c>
      <c r="L82" s="131" t="s">
        <v>192</v>
      </c>
      <c r="M82" s="131" t="s">
        <v>193</v>
      </c>
      <c r="N82" s="131" t="s">
        <v>193</v>
      </c>
      <c r="O82" s="131" t="s">
        <v>193</v>
      </c>
      <c r="P82" s="131" t="s">
        <v>193</v>
      </c>
      <c r="Q82" s="131" t="s">
        <v>193</v>
      </c>
      <c r="R82" s="131" t="s">
        <v>193</v>
      </c>
      <c r="S82" s="131" t="s">
        <v>193</v>
      </c>
      <c r="T82" s="131" t="s">
        <v>193</v>
      </c>
      <c r="U82" s="131" t="s">
        <v>193</v>
      </c>
      <c r="V82" s="131" t="s">
        <v>193</v>
      </c>
      <c r="W82" s="131" t="s">
        <v>193</v>
      </c>
      <c r="X82" s="131" t="s">
        <v>193</v>
      </c>
      <c r="Y82" s="131" t="s">
        <v>193</v>
      </c>
      <c r="Z82" s="131" t="s">
        <v>193</v>
      </c>
      <c r="AA82" s="131" t="s">
        <v>193</v>
      </c>
      <c r="AB82" s="131" t="s">
        <v>193</v>
      </c>
      <c r="AC82" s="131" t="s">
        <v>193</v>
      </c>
      <c r="AD82" s="131" t="s">
        <v>193</v>
      </c>
      <c r="AE82" s="131" t="s">
        <v>193</v>
      </c>
      <c r="AF82" s="131" t="s">
        <v>193</v>
      </c>
      <c r="AG82" s="131" t="s">
        <v>193</v>
      </c>
      <c r="AH82" s="131" t="s">
        <v>193</v>
      </c>
      <c r="AI82" s="131" t="s">
        <v>193</v>
      </c>
      <c r="AJ82" s="131" t="s">
        <v>193</v>
      </c>
      <c r="AK82" s="131" t="s">
        <v>193</v>
      </c>
      <c r="AL82" s="131" t="s">
        <v>193</v>
      </c>
      <c r="AM82" s="112" t="s">
        <v>194</v>
      </c>
      <c r="AN82" s="112" t="s">
        <v>195</v>
      </c>
      <c r="AO82" s="112"/>
      <c r="AP82" s="112"/>
      <c r="AQ82" s="133" t="s">
        <v>196</v>
      </c>
      <c r="AR82" s="133" t="s">
        <v>197</v>
      </c>
      <c r="AS82" s="133"/>
      <c r="AT82" s="133"/>
      <c r="AU82" s="133" t="s">
        <v>198</v>
      </c>
      <c r="AV82" s="133" t="s">
        <v>197</v>
      </c>
      <c r="AW82" s="133"/>
      <c r="AX82" s="133"/>
      <c r="AY82" s="133" t="s">
        <v>199</v>
      </c>
      <c r="AZ82" s="134"/>
      <c r="BA82" s="133" t="s">
        <v>200</v>
      </c>
      <c r="BB82" s="133"/>
      <c r="BC82" s="133"/>
      <c r="BE82" s="9" t="s">
        <v>201</v>
      </c>
      <c r="BF82" s="9" t="s">
        <v>202</v>
      </c>
      <c r="BG82" s="9" t="s">
        <v>203</v>
      </c>
      <c r="BH82" s="9" t="s">
        <v>204</v>
      </c>
      <c r="BI82" s="138"/>
      <c r="BJ82" s="133" t="s">
        <v>205</v>
      </c>
      <c r="BK82" s="133" t="s">
        <v>205</v>
      </c>
      <c r="BL82" s="137" t="s">
        <v>206</v>
      </c>
      <c r="BM82" s="137" t="s">
        <v>207</v>
      </c>
      <c r="BN82" s="131" t="s">
        <v>208</v>
      </c>
      <c r="BO82" s="133" t="s">
        <v>196</v>
      </c>
      <c r="BP82" s="134" t="s">
        <v>209</v>
      </c>
      <c r="BQ82" s="133" t="s">
        <v>205</v>
      </c>
      <c r="BR82" s="137" t="s">
        <v>206</v>
      </c>
      <c r="BS82" s="137" t="s">
        <v>207</v>
      </c>
      <c r="BT82" s="131" t="s">
        <v>208</v>
      </c>
      <c r="BU82" s="135" t="s">
        <v>196</v>
      </c>
      <c r="BW82" s="14"/>
      <c r="BX82" s="14"/>
      <c r="BY82" s="1"/>
    </row>
    <row r="83" spans="1:77" ht="12" customHeight="1" x14ac:dyDescent="0.2">
      <c r="A83" s="90"/>
      <c r="B83" s="131" t="s">
        <v>210</v>
      </c>
      <c r="C83" s="131" t="s">
        <v>211</v>
      </c>
      <c r="D83" s="131" t="s">
        <v>56</v>
      </c>
      <c r="E83" s="131" t="s">
        <v>212</v>
      </c>
      <c r="F83" s="136" t="s">
        <v>213</v>
      </c>
      <c r="G83" s="137" t="s">
        <v>214</v>
      </c>
      <c r="H83" s="137" t="s">
        <v>214</v>
      </c>
      <c r="I83" s="131" t="s">
        <v>185</v>
      </c>
      <c r="J83" s="131" t="s">
        <v>215</v>
      </c>
      <c r="K83" s="131" t="s">
        <v>215</v>
      </c>
      <c r="L83" s="131" t="s">
        <v>216</v>
      </c>
      <c r="M83" s="131" t="s">
        <v>217</v>
      </c>
      <c r="N83" s="131" t="s">
        <v>218</v>
      </c>
      <c r="O83" s="131" t="s">
        <v>219</v>
      </c>
      <c r="P83" s="131" t="s">
        <v>220</v>
      </c>
      <c r="Q83" s="131" t="s">
        <v>221</v>
      </c>
      <c r="R83" s="131" t="s">
        <v>222</v>
      </c>
      <c r="S83" s="131" t="s">
        <v>223</v>
      </c>
      <c r="T83" s="131" t="s">
        <v>224</v>
      </c>
      <c r="U83" s="131" t="s">
        <v>225</v>
      </c>
      <c r="V83" s="131" t="s">
        <v>226</v>
      </c>
      <c r="W83" s="131" t="s">
        <v>227</v>
      </c>
      <c r="X83" s="131" t="s">
        <v>228</v>
      </c>
      <c r="Y83" s="131" t="s">
        <v>229</v>
      </c>
      <c r="Z83" s="131" t="s">
        <v>230</v>
      </c>
      <c r="AA83" s="131" t="s">
        <v>231</v>
      </c>
      <c r="AB83" s="131" t="s">
        <v>232</v>
      </c>
      <c r="AC83" s="131" t="s">
        <v>233</v>
      </c>
      <c r="AD83" s="131" t="s">
        <v>234</v>
      </c>
      <c r="AE83" s="131" t="s">
        <v>235</v>
      </c>
      <c r="AF83" s="131" t="s">
        <v>236</v>
      </c>
      <c r="AG83" s="131" t="s">
        <v>237</v>
      </c>
      <c r="AH83" s="131" t="s">
        <v>238</v>
      </c>
      <c r="AI83" s="131" t="s">
        <v>239</v>
      </c>
      <c r="AJ83" s="131" t="s">
        <v>240</v>
      </c>
      <c r="AK83" s="131" t="s">
        <v>241</v>
      </c>
      <c r="AL83" s="131" t="s">
        <v>242</v>
      </c>
      <c r="AM83" s="115" t="s">
        <v>243</v>
      </c>
      <c r="AN83" s="112" t="s">
        <v>243</v>
      </c>
      <c r="AO83" s="115" t="s">
        <v>244</v>
      </c>
      <c r="AP83" s="115" t="s">
        <v>245</v>
      </c>
      <c r="AQ83" s="133" t="s">
        <v>246</v>
      </c>
      <c r="AR83" s="133" t="s">
        <v>247</v>
      </c>
      <c r="AS83" s="134" t="s">
        <v>248</v>
      </c>
      <c r="AT83" s="134" t="s">
        <v>249</v>
      </c>
      <c r="AU83" s="133" t="s">
        <v>250</v>
      </c>
      <c r="AV83" s="133" t="s">
        <v>250</v>
      </c>
      <c r="AW83" s="134" t="s">
        <v>251</v>
      </c>
      <c r="AX83" s="134" t="s">
        <v>252</v>
      </c>
      <c r="AY83" s="134" t="s">
        <v>253</v>
      </c>
      <c r="AZ83" s="134" t="s">
        <v>254</v>
      </c>
      <c r="BA83" s="133" t="s">
        <v>255</v>
      </c>
      <c r="BB83" s="133" t="s">
        <v>256</v>
      </c>
      <c r="BC83" s="133" t="s">
        <v>257</v>
      </c>
      <c r="BD83" s="9" t="s">
        <v>258</v>
      </c>
      <c r="BE83" s="9" t="s">
        <v>259</v>
      </c>
      <c r="BF83" s="9" t="s">
        <v>259</v>
      </c>
      <c r="BG83" s="9" t="s">
        <v>260</v>
      </c>
      <c r="BH83" s="9" t="s">
        <v>261</v>
      </c>
      <c r="BI83" s="133" t="s">
        <v>257</v>
      </c>
      <c r="BJ83" s="133" t="s">
        <v>262</v>
      </c>
      <c r="BK83" s="134" t="s">
        <v>263</v>
      </c>
      <c r="BL83" s="139" t="s">
        <v>263</v>
      </c>
      <c r="BM83" s="137" t="s">
        <v>264</v>
      </c>
      <c r="BN83" s="131" t="s">
        <v>265</v>
      </c>
      <c r="BO83" s="134" t="s">
        <v>253</v>
      </c>
      <c r="BP83" s="134" t="s">
        <v>47</v>
      </c>
      <c r="BQ83" s="134" t="s">
        <v>263</v>
      </c>
      <c r="BR83" s="139" t="s">
        <v>263</v>
      </c>
      <c r="BS83" s="137" t="s">
        <v>264</v>
      </c>
      <c r="BT83" s="131" t="s">
        <v>265</v>
      </c>
      <c r="BU83" s="140" t="s">
        <v>253</v>
      </c>
      <c r="BW83" s="14"/>
      <c r="BX83" s="116"/>
      <c r="BY83" s="1"/>
    </row>
    <row r="84" spans="1:77" ht="12" customHeight="1" x14ac:dyDescent="0.2">
      <c r="A84" s="90"/>
      <c r="B84" s="131" t="s">
        <v>56</v>
      </c>
      <c r="C84" s="131" t="s">
        <v>266</v>
      </c>
      <c r="D84" s="141">
        <v>0</v>
      </c>
      <c r="E84" s="142">
        <v>0</v>
      </c>
      <c r="F84" s="136" t="s">
        <v>59</v>
      </c>
      <c r="G84" s="137" t="s">
        <v>168</v>
      </c>
      <c r="H84" s="137" t="s">
        <v>168</v>
      </c>
      <c r="I84" s="131" t="s">
        <v>267</v>
      </c>
      <c r="J84" s="131" t="s">
        <v>268</v>
      </c>
      <c r="K84" s="131" t="s">
        <v>269</v>
      </c>
      <c r="L84" s="131" t="s">
        <v>270</v>
      </c>
      <c r="M84" s="131" t="s">
        <v>269</v>
      </c>
      <c r="N84" s="131" t="s">
        <v>269</v>
      </c>
      <c r="O84" s="131" t="s">
        <v>269</v>
      </c>
      <c r="P84" s="131" t="s">
        <v>269</v>
      </c>
      <c r="Q84" s="131" t="s">
        <v>269</v>
      </c>
      <c r="R84" s="131" t="s">
        <v>269</v>
      </c>
      <c r="S84" s="131" t="s">
        <v>269</v>
      </c>
      <c r="T84" s="131" t="s">
        <v>269</v>
      </c>
      <c r="U84" s="131" t="s">
        <v>269</v>
      </c>
      <c r="V84" s="131" t="s">
        <v>269</v>
      </c>
      <c r="W84" s="131" t="s">
        <v>269</v>
      </c>
      <c r="X84" s="131" t="s">
        <v>269</v>
      </c>
      <c r="Y84" s="131" t="s">
        <v>269</v>
      </c>
      <c r="Z84" s="131" t="s">
        <v>269</v>
      </c>
      <c r="AA84" s="131" t="s">
        <v>269</v>
      </c>
      <c r="AB84" s="131" t="s">
        <v>269</v>
      </c>
      <c r="AC84" s="131" t="s">
        <v>269</v>
      </c>
      <c r="AD84" s="131" t="s">
        <v>269</v>
      </c>
      <c r="AE84" s="131" t="s">
        <v>269</v>
      </c>
      <c r="AF84" s="131" t="s">
        <v>269</v>
      </c>
      <c r="AG84" s="131" t="s">
        <v>269</v>
      </c>
      <c r="AH84" s="131" t="s">
        <v>269</v>
      </c>
      <c r="AI84" s="131" t="s">
        <v>269</v>
      </c>
      <c r="AJ84" s="131" t="s">
        <v>269</v>
      </c>
      <c r="AK84" s="131" t="s">
        <v>269</v>
      </c>
      <c r="AL84" s="131" t="s">
        <v>269</v>
      </c>
      <c r="AM84" s="115" t="s">
        <v>61</v>
      </c>
      <c r="AN84" s="112" t="s">
        <v>61</v>
      </c>
      <c r="AO84" s="115" t="s">
        <v>271</v>
      </c>
      <c r="AP84" s="115" t="s">
        <v>272</v>
      </c>
      <c r="AQ84" s="133" t="s">
        <v>273</v>
      </c>
      <c r="AR84" s="134" t="s">
        <v>274</v>
      </c>
      <c r="AS84" s="134" t="s">
        <v>275</v>
      </c>
      <c r="AT84" s="134" t="s">
        <v>276</v>
      </c>
      <c r="AU84" s="133" t="s">
        <v>277</v>
      </c>
      <c r="AV84" s="133" t="s">
        <v>277</v>
      </c>
      <c r="AW84" s="134" t="s">
        <v>278</v>
      </c>
      <c r="AX84" s="134" t="s">
        <v>279</v>
      </c>
      <c r="AY84" s="134" t="s">
        <v>280</v>
      </c>
      <c r="AZ84" s="134" t="s">
        <v>278</v>
      </c>
      <c r="BA84" s="133" t="s">
        <v>281</v>
      </c>
      <c r="BB84" s="133" t="s">
        <v>282</v>
      </c>
      <c r="BC84" s="133" t="s">
        <v>283</v>
      </c>
      <c r="BD84" s="9" t="s">
        <v>273</v>
      </c>
      <c r="BE84" s="9" t="s">
        <v>284</v>
      </c>
      <c r="BF84" s="9" t="s">
        <v>277</v>
      </c>
      <c r="BI84" s="133" t="s">
        <v>260</v>
      </c>
      <c r="BJ84" s="133" t="s">
        <v>285</v>
      </c>
      <c r="BK84" s="134" t="s">
        <v>286</v>
      </c>
      <c r="BL84" s="139" t="s">
        <v>286</v>
      </c>
      <c r="BM84" s="131" t="s">
        <v>287</v>
      </c>
      <c r="BN84" s="131" t="s">
        <v>288</v>
      </c>
      <c r="BO84" s="134" t="s">
        <v>13</v>
      </c>
      <c r="BP84" s="143">
        <f>J66-273</f>
        <v>1173.9690340184807</v>
      </c>
      <c r="BQ84" s="134" t="s">
        <v>286</v>
      </c>
      <c r="BR84" s="139" t="s">
        <v>286</v>
      </c>
      <c r="BS84" s="131" t="s">
        <v>287</v>
      </c>
      <c r="BT84" s="131" t="s">
        <v>288</v>
      </c>
      <c r="BU84" s="140" t="s">
        <v>13</v>
      </c>
      <c r="BW84" s="14"/>
      <c r="BX84" s="116"/>
      <c r="BY84" s="1"/>
    </row>
    <row r="85" spans="1:77" ht="12" customHeight="1" x14ac:dyDescent="0.2">
      <c r="A85" s="90">
        <v>0</v>
      </c>
      <c r="B85" s="131">
        <v>0</v>
      </c>
      <c r="C85" s="141">
        <f>90-ASIN(B85/B$75/2)*180/PI()</f>
        <v>90</v>
      </c>
      <c r="D85" s="141">
        <f>SQRT(B$75^2/4+B85^2)</f>
        <v>57.232140974067832</v>
      </c>
      <c r="E85" s="142">
        <f t="shared" ref="E85:E111" si="5">1-EXP(-B$78*D85/1000)</f>
        <v>5.0204828779991439E-2</v>
      </c>
      <c r="F85" s="144">
        <v>0</v>
      </c>
      <c r="G85" s="145">
        <f>J66</f>
        <v>1446.9690340184807</v>
      </c>
      <c r="H85" s="141">
        <f>J$65</f>
        <v>1446.9690340184807</v>
      </c>
      <c r="I85" s="142">
        <f t="shared" ref="I85:I110" si="6">COS(C85*PI()/180)*COS((90-C85)*PI()/180)/PI()/D85^2*1000000</f>
        <v>5.9529037841634811E-15</v>
      </c>
      <c r="J85" s="142">
        <f t="shared" ref="J85:J111" si="7">J$67*I85*F85</f>
        <v>0</v>
      </c>
      <c r="K85" s="142">
        <f t="shared" ref="K85:K111" si="8">J85*(1-E85)</f>
        <v>0</v>
      </c>
      <c r="L85" s="142">
        <f t="shared" ref="L85:L111" si="9">J85-K85</f>
        <v>0</v>
      </c>
      <c r="M85" s="146">
        <v>0</v>
      </c>
      <c r="N85" s="146">
        <v>0</v>
      </c>
      <c r="O85" s="146">
        <v>0</v>
      </c>
      <c r="P85" s="146">
        <v>0</v>
      </c>
      <c r="Q85" s="146">
        <v>0</v>
      </c>
      <c r="R85" s="146">
        <v>0</v>
      </c>
      <c r="S85" s="146">
        <v>0</v>
      </c>
      <c r="T85" s="146">
        <v>0</v>
      </c>
      <c r="U85" s="146">
        <v>0</v>
      </c>
      <c r="V85" s="146">
        <v>0</v>
      </c>
      <c r="W85" s="146">
        <v>0</v>
      </c>
      <c r="X85" s="146">
        <v>0</v>
      </c>
      <c r="Y85" s="146">
        <v>0</v>
      </c>
      <c r="Z85" s="146">
        <v>0</v>
      </c>
      <c r="AA85" s="146">
        <v>0</v>
      </c>
      <c r="AB85" s="146">
        <v>0</v>
      </c>
      <c r="AC85" s="146">
        <v>0</v>
      </c>
      <c r="AD85" s="146">
        <v>0</v>
      </c>
      <c r="AE85" s="146">
        <v>0</v>
      </c>
      <c r="AF85" s="146">
        <v>0</v>
      </c>
      <c r="AG85" s="146">
        <v>0</v>
      </c>
      <c r="AH85" s="146">
        <v>0</v>
      </c>
      <c r="AI85" s="146">
        <v>0</v>
      </c>
      <c r="AJ85" s="146">
        <v>0</v>
      </c>
      <c r="AK85" s="146">
        <v>0</v>
      </c>
      <c r="AL85" s="146">
        <v>0</v>
      </c>
      <c r="AM85" s="115">
        <v>0</v>
      </c>
      <c r="AN85" s="1">
        <f>AM85</f>
        <v>0</v>
      </c>
      <c r="AO85" s="118">
        <v>0.5</v>
      </c>
      <c r="AP85" s="118">
        <f t="shared" ref="AP85:AP111" si="10">IF(AM85=0,AO85,AX85*AM85/B$75*1000)</f>
        <v>0.5</v>
      </c>
      <c r="AQ85" s="147">
        <f>J66-273</f>
        <v>1173.9690340184807</v>
      </c>
      <c r="AR85" s="148">
        <f t="shared" ref="AR85:AR111" si="11">20.583*AQ85^-0.619</f>
        <v>0.25905454302851527</v>
      </c>
      <c r="AS85" s="149">
        <f t="shared" ref="AS85:AS111" si="12">$B$55/AR85*1000</f>
        <v>27.464450346293038</v>
      </c>
      <c r="AT85" s="150">
        <f t="shared" ref="AT85:AT111" si="13">AS85/1000/(($B$75/1000)^2/4*PI())</f>
        <v>2.6689537866431423</v>
      </c>
      <c r="AU85" s="151">
        <f t="shared" ref="AU85:AU111" si="14">-0.0000000000088144*(B$80-273)^2+0.000000038157*(B$80-273)+0.000018526</f>
        <v>2.4440843982471892E-5</v>
      </c>
      <c r="AV85" s="151">
        <f t="shared" ref="AV85:AV111" si="15">-0.0000000000088144*AQ85^2+0.000000038157*AQ85+0.000018526</f>
        <v>5.1173101326684645E-5</v>
      </c>
      <c r="AW85" s="152">
        <f t="shared" ref="AW85:AW111" si="16">4*$B$55/PI()/AV85/($B$75/1000)</f>
        <v>1546.5377206132471</v>
      </c>
      <c r="AX85" s="153">
        <f t="shared" ref="AX85:AX111" si="17">IF(AW85&lt;2500,64/AW85,(0.25/(LOG(5.74/AW85^0.9))^2))</f>
        <v>4.1382760437697015E-2</v>
      </c>
      <c r="AY85" s="154">
        <f t="shared" ref="AY85:AY111" si="18">$AP85*AR85*(AT85^2)/2</f>
        <v>0.46133173369553554</v>
      </c>
      <c r="AZ85" s="155">
        <f t="shared" ref="AZ85:AZ111" si="19">-0.00000000012044*AQ85^3+0.00000024927*AQ85^2-0.00010926*AQ85+0.69512</f>
        <v>0.7155288136286897</v>
      </c>
      <c r="BA85" s="154">
        <f t="shared" ref="BA85:BA111" si="20">0.000050069*AQ85+0.030201</f>
        <v>8.898045556427131E-2</v>
      </c>
      <c r="BB85" s="154">
        <v>0</v>
      </c>
      <c r="BC85" s="154">
        <v>1</v>
      </c>
      <c r="BD85" s="156">
        <f>(B$80+AQ85)/2</f>
        <v>803.98515469983522</v>
      </c>
      <c r="BE85" s="148">
        <f>20.583*BD85^-0.619</f>
        <v>0.32746142217345259</v>
      </c>
      <c r="BF85" s="151">
        <f>-0.0000000000088144*(BD85-273)^2+0.000000038157*(BD85-273)+0.000018526</f>
        <v>3.6301622472802493E-5</v>
      </c>
      <c r="BG85" s="31">
        <f>(B75/1000)^3*BE85^2*9.81*((AQ85+273)-B$80)/BD85/BF85^2</f>
        <v>1508324.4823396807</v>
      </c>
      <c r="BH85" s="148">
        <f>0.87*(1+0.15*BG85^0.3333)</f>
        <v>15.82900894815621</v>
      </c>
      <c r="BI85" s="154">
        <f t="shared" ref="BI85:BI111" si="21">IF($AM85=0,0,(IF(AW85&lt;2500,MAX(1.86*AW85^0.33333*AZ85^0.33333*BC85*(AV85/AU85)^0.14,3.66)*B$79,0.023*AW85^0.8*AZ85^0.33*BC85)))</f>
        <v>0</v>
      </c>
      <c r="BJ85" s="154">
        <f t="shared" ref="BJ85:BJ111" si="22">BI85*BA85/$B$75*1000</f>
        <v>0</v>
      </c>
      <c r="BK85" s="157">
        <f t="shared" ref="BK85:BK111" si="23">BJ85*(AQ85-B$80+273)*$AM85*PI()*$B$75/1000</f>
        <v>0</v>
      </c>
      <c r="BL85" s="158">
        <f t="shared" ref="BL85:BL111" si="24">0.000000000056703*(1-EXP(-B$78*B$75/1000))*(G85^4-B$80^4)*F85*1000</f>
        <v>0</v>
      </c>
      <c r="BM85" s="131">
        <v>0</v>
      </c>
      <c r="BN85" s="159">
        <f>SUM(M85:M111)*1000</f>
        <v>127.0624235535919</v>
      </c>
      <c r="BO85" s="157">
        <f t="shared" ref="BO85:BO111" si="25">(BK85+BL85-BM85-BN85)/1000/$B$54/$B$55</f>
        <v>-16.089110381300809</v>
      </c>
      <c r="BP85" s="143">
        <f t="shared" ref="BP85:BP111" si="26">AQ85-BO85/2</f>
        <v>1182.0135892091312</v>
      </c>
      <c r="BQ85" s="157">
        <f t="shared" ref="BQ85:BQ111" si="27">BJ85*(BP85-B$80+273)*$AM85*PI()*$B$75/1000</f>
        <v>0</v>
      </c>
      <c r="BR85" s="158">
        <f t="shared" ref="BR85:BR111" si="28">0.000000000056703*(1-EXP(-B$78*B$75/1000))*((BP85+273)^4-B$80^4)*F85*1000</f>
        <v>0</v>
      </c>
      <c r="BS85" s="96">
        <f t="shared" ref="BS85:BS111" si="29">BM85</f>
        <v>0</v>
      </c>
      <c r="BT85" s="96">
        <f t="shared" ref="BT85:BT111" si="30">BN85</f>
        <v>127.0624235535919</v>
      </c>
      <c r="BU85" s="160">
        <f t="shared" ref="BU85:BU111" si="31">(BQ85+BR85-BS85-BT85)/1000/$B$54/$B$55</f>
        <v>-16.089110381300809</v>
      </c>
      <c r="BW85" s="108"/>
      <c r="BX85" s="108"/>
      <c r="BY85" s="1"/>
    </row>
    <row r="86" spans="1:77" ht="12" customHeight="1" x14ac:dyDescent="0.2">
      <c r="A86" s="90">
        <v>1</v>
      </c>
      <c r="B86" s="141">
        <f t="shared" ref="B86:B110" si="32">B85+B$76/25</f>
        <v>6.5485051584748453</v>
      </c>
      <c r="C86" s="141">
        <f t="shared" ref="C86:C110" si="33">90-ATAN((B86+B85)/2/(B$75/2))*180/PI()</f>
        <v>86.72567581965707</v>
      </c>
      <c r="D86" s="141">
        <f t="shared" ref="D86:D110" si="34">SQRT(B$75^2/4+((B86+B85)/2)^2)</f>
        <v>57.325724508532964</v>
      </c>
      <c r="E86" s="142">
        <f t="shared" si="5"/>
        <v>5.028482208144569E-2</v>
      </c>
      <c r="F86" s="144">
        <f t="shared" ref="F86:F110" si="35">B$75*PI()*B$76/25/1000000</f>
        <v>2.3548434193642583E-3</v>
      </c>
      <c r="G86" s="145">
        <f t="shared" ref="G86:G111" si="36">G85-BU85</f>
        <v>1463.0581443997814</v>
      </c>
      <c r="H86" s="141">
        <f>J$65</f>
        <v>1446.9690340184807</v>
      </c>
      <c r="I86" s="142">
        <f t="shared" si="6"/>
        <v>5.5233693948040123</v>
      </c>
      <c r="J86" s="142">
        <f t="shared" si="7"/>
        <v>3.2999683836819248E-2</v>
      </c>
      <c r="K86" s="142">
        <f t="shared" si="8"/>
        <v>3.1340300606340833E-2</v>
      </c>
      <c r="L86" s="142">
        <f t="shared" si="9"/>
        <v>1.6593832304784145E-3</v>
      </c>
      <c r="M86" s="146">
        <f t="shared" ref="M86:M111" si="37">$L86*($D$85/$D86-$D$84/$D86)</f>
        <v>1.6566743079297389E-3</v>
      </c>
      <c r="N86" s="146">
        <v>0</v>
      </c>
      <c r="O86" s="146">
        <v>0</v>
      </c>
      <c r="P86" s="146">
        <v>0</v>
      </c>
      <c r="Q86" s="146">
        <v>0</v>
      </c>
      <c r="R86" s="146">
        <v>0</v>
      </c>
      <c r="S86" s="146">
        <v>0</v>
      </c>
      <c r="T86" s="146">
        <v>0</v>
      </c>
      <c r="U86" s="146">
        <v>0</v>
      </c>
      <c r="V86" s="146">
        <v>0</v>
      </c>
      <c r="W86" s="146">
        <v>0</v>
      </c>
      <c r="X86" s="146">
        <v>0</v>
      </c>
      <c r="Y86" s="146">
        <v>0</v>
      </c>
      <c r="Z86" s="146">
        <v>0</v>
      </c>
      <c r="AA86" s="146">
        <v>0</v>
      </c>
      <c r="AB86" s="146">
        <v>0</v>
      </c>
      <c r="AC86" s="146">
        <v>0</v>
      </c>
      <c r="AD86" s="146">
        <v>0</v>
      </c>
      <c r="AE86" s="146">
        <v>0</v>
      </c>
      <c r="AF86" s="146">
        <v>0</v>
      </c>
      <c r="AG86" s="146">
        <v>0</v>
      </c>
      <c r="AH86" s="146">
        <v>0</v>
      </c>
      <c r="AI86" s="146">
        <v>0</v>
      </c>
      <c r="AJ86" s="146">
        <v>0</v>
      </c>
      <c r="AK86" s="146">
        <v>0</v>
      </c>
      <c r="AL86" s="146">
        <v>0</v>
      </c>
      <c r="AM86" s="161">
        <f t="shared" ref="AM86:AM110" si="38">(B86-B85)/1000</f>
        <v>6.5485051584748457E-3</v>
      </c>
      <c r="AN86" s="26">
        <f t="shared" ref="AN86:AN111" si="39">AN85+AM86</f>
        <v>6.5485051584748457E-3</v>
      </c>
      <c r="AO86" s="118">
        <v>0</v>
      </c>
      <c r="AP86" s="118">
        <f t="shared" si="10"/>
        <v>2.3804009465516643E-3</v>
      </c>
      <c r="AQ86" s="147">
        <f t="shared" ref="AQ86:AQ111" si="40">AQ85-BU85</f>
        <v>1190.0581443997814</v>
      </c>
      <c r="AR86" s="148">
        <f t="shared" si="11"/>
        <v>0.25688099224129962</v>
      </c>
      <c r="AS86" s="149">
        <f t="shared" si="12"/>
        <v>27.69683568998774</v>
      </c>
      <c r="AT86" s="150">
        <f t="shared" si="13"/>
        <v>2.6915366432156955</v>
      </c>
      <c r="AU86" s="151">
        <f t="shared" si="14"/>
        <v>2.4440843982471892E-5</v>
      </c>
      <c r="AV86" s="151">
        <f t="shared" si="15"/>
        <v>5.14517569770291E-5</v>
      </c>
      <c r="AW86" s="152">
        <f t="shared" si="16"/>
        <v>1538.1618846916067</v>
      </c>
      <c r="AX86" s="153">
        <f t="shared" si="17"/>
        <v>4.1608104216437312E-2</v>
      </c>
      <c r="AY86" s="154">
        <f t="shared" si="18"/>
        <v>2.2148926515793053E-3</v>
      </c>
      <c r="AZ86" s="155">
        <f t="shared" si="19"/>
        <v>0.71512968800077137</v>
      </c>
      <c r="BA86" s="154">
        <f t="shared" si="20"/>
        <v>8.9786021231952645E-2</v>
      </c>
      <c r="BB86" s="154">
        <f t="shared" ref="BB86:BB110" si="41">IF(AW86&lt;2500,($B$75/B86)^0.333333,1+($B$75/B86)^0.7)</f>
        <v>2.5952280342920133</v>
      </c>
      <c r="BC86" s="154">
        <f t="shared" ref="BC86:BC110" si="42">(BB86*AN86-BB85*AN85)/(AN86-AN85)</f>
        <v>2.5952280342920133</v>
      </c>
      <c r="BI86" s="154">
        <f t="shared" si="21"/>
        <v>88.481747664542283</v>
      </c>
      <c r="BJ86" s="154">
        <f t="shared" si="22"/>
        <v>69.405267208582387</v>
      </c>
      <c r="BK86" s="157">
        <f t="shared" si="23"/>
        <v>168.18754891043858</v>
      </c>
      <c r="BL86" s="158">
        <f t="shared" si="24"/>
        <v>59.425521605116117</v>
      </c>
      <c r="BM86" s="162">
        <f t="shared" ref="BM86:BM110" si="43">B$53/25*1000</f>
        <v>51.884983807777232</v>
      </c>
      <c r="BN86" s="159">
        <f>SUM(N85:N111)*1000</f>
        <v>0.26633894380647227</v>
      </c>
      <c r="BO86" s="157">
        <f t="shared" si="25"/>
        <v>22.217610435234658</v>
      </c>
      <c r="BP86" s="143">
        <f t="shared" si="26"/>
        <v>1178.9493391821641</v>
      </c>
      <c r="BQ86" s="157">
        <f t="shared" si="27"/>
        <v>166.37194204057104</v>
      </c>
      <c r="BR86" s="158">
        <f t="shared" si="28"/>
        <v>57.627208794584803</v>
      </c>
      <c r="BS86" s="96">
        <f t="shared" si="29"/>
        <v>51.884983807777232</v>
      </c>
      <c r="BT86" s="96">
        <f t="shared" si="30"/>
        <v>0.26633894380647227</v>
      </c>
      <c r="BU86" s="160">
        <f t="shared" si="31"/>
        <v>21.760002662449118</v>
      </c>
      <c r="BW86" s="108"/>
      <c r="BX86" s="108"/>
      <c r="BY86" s="1"/>
    </row>
    <row r="87" spans="1:77" ht="12" customHeight="1" x14ac:dyDescent="0.2">
      <c r="A87" s="90">
        <f t="shared" ref="A87:A110" si="44">A86+1</f>
        <v>2</v>
      </c>
      <c r="B87" s="141">
        <f t="shared" si="32"/>
        <v>13.097010316949691</v>
      </c>
      <c r="C87" s="141">
        <f t="shared" si="33"/>
        <v>80.261205065228879</v>
      </c>
      <c r="D87" s="141">
        <f t="shared" si="34"/>
        <v>58.06896356961574</v>
      </c>
      <c r="E87" s="142">
        <f t="shared" si="5"/>
        <v>5.0919888530398749E-2</v>
      </c>
      <c r="F87" s="144">
        <f t="shared" si="35"/>
        <v>2.3548434193642583E-3</v>
      </c>
      <c r="G87" s="145">
        <f t="shared" si="36"/>
        <v>1441.2981417373323</v>
      </c>
      <c r="H87" s="141">
        <f t="shared" ref="H87:H110" si="45">H86</f>
        <v>1446.9690340184807</v>
      </c>
      <c r="I87" s="142">
        <f t="shared" si="6"/>
        <v>15.737917127759379</v>
      </c>
      <c r="J87" s="142">
        <f t="shared" si="7"/>
        <v>9.402707882523402E-2</v>
      </c>
      <c r="K87" s="142">
        <f t="shared" si="8"/>
        <v>8.9239230452614088E-2</v>
      </c>
      <c r="L87" s="142">
        <f t="shared" si="9"/>
        <v>4.7878483726199322E-3</v>
      </c>
      <c r="M87" s="146">
        <f t="shared" si="37"/>
        <v>4.7188514514425401E-3</v>
      </c>
      <c r="N87" s="146">
        <f>$L87-M87</f>
        <v>6.8996921177392166E-5</v>
      </c>
      <c r="O87" s="146">
        <v>0</v>
      </c>
      <c r="P87" s="146">
        <v>0</v>
      </c>
      <c r="Q87" s="146">
        <v>0</v>
      </c>
      <c r="R87" s="146">
        <v>0</v>
      </c>
      <c r="S87" s="146">
        <v>0</v>
      </c>
      <c r="T87" s="146">
        <v>0</v>
      </c>
      <c r="U87" s="146">
        <v>0</v>
      </c>
      <c r="V87" s="146">
        <v>0</v>
      </c>
      <c r="W87" s="146">
        <v>0</v>
      </c>
      <c r="X87" s="146">
        <v>0</v>
      </c>
      <c r="Y87" s="146">
        <v>0</v>
      </c>
      <c r="Z87" s="146">
        <v>0</v>
      </c>
      <c r="AA87" s="146">
        <v>0</v>
      </c>
      <c r="AB87" s="146">
        <v>0</v>
      </c>
      <c r="AC87" s="146">
        <v>0</v>
      </c>
      <c r="AD87" s="146">
        <v>0</v>
      </c>
      <c r="AE87" s="146">
        <v>0</v>
      </c>
      <c r="AF87" s="146">
        <v>0</v>
      </c>
      <c r="AG87" s="146">
        <v>0</v>
      </c>
      <c r="AH87" s="146">
        <v>0</v>
      </c>
      <c r="AI87" s="146">
        <v>0</v>
      </c>
      <c r="AJ87" s="146">
        <v>0</v>
      </c>
      <c r="AK87" s="146">
        <v>0</v>
      </c>
      <c r="AL87" s="146">
        <v>0</v>
      </c>
      <c r="AM87" s="161">
        <f t="shared" si="38"/>
        <v>6.5485051584748457E-3</v>
      </c>
      <c r="AN87" s="26">
        <f t="shared" si="39"/>
        <v>1.3097010316949691E-2</v>
      </c>
      <c r="AO87" s="118">
        <v>0</v>
      </c>
      <c r="AP87" s="118">
        <f t="shared" si="10"/>
        <v>2.362914713003472E-3</v>
      </c>
      <c r="AQ87" s="147">
        <f t="shared" si="40"/>
        <v>1168.2981417373323</v>
      </c>
      <c r="AR87" s="148">
        <f t="shared" si="11"/>
        <v>0.25983218322108426</v>
      </c>
      <c r="AS87" s="149">
        <f t="shared" si="12"/>
        <v>27.382253213546321</v>
      </c>
      <c r="AT87" s="150">
        <f t="shared" si="13"/>
        <v>2.6609659934803651</v>
      </c>
      <c r="AU87" s="151">
        <f t="shared" si="14"/>
        <v>2.4440843982471892E-5</v>
      </c>
      <c r="AV87" s="151">
        <f t="shared" si="15"/>
        <v>5.1073796516095624E-5</v>
      </c>
      <c r="AW87" s="152">
        <f t="shared" si="16"/>
        <v>1549.544715312885</v>
      </c>
      <c r="AX87" s="153">
        <f t="shared" si="17"/>
        <v>4.1302454435512746E-2</v>
      </c>
      <c r="AY87" s="154">
        <f t="shared" si="18"/>
        <v>2.173650133146333E-3</v>
      </c>
      <c r="AZ87" s="155">
        <f t="shared" si="19"/>
        <v>0.71564775422908422</v>
      </c>
      <c r="BA87" s="154">
        <f t="shared" si="20"/>
        <v>8.8696519658646486E-2</v>
      </c>
      <c r="BB87" s="154">
        <f t="shared" si="41"/>
        <v>2.0598343317889838</v>
      </c>
      <c r="BC87" s="154">
        <f t="shared" si="42"/>
        <v>1.5244406292859545</v>
      </c>
      <c r="BI87" s="154">
        <f t="shared" si="21"/>
        <v>52.061008037810296</v>
      </c>
      <c r="BJ87" s="154">
        <f t="shared" si="22"/>
        <v>40.34123260360699</v>
      </c>
      <c r="BK87" s="157">
        <f t="shared" si="23"/>
        <v>95.690468626701886</v>
      </c>
      <c r="BL87" s="158">
        <f t="shared" si="24"/>
        <v>55.941301735638064</v>
      </c>
      <c r="BM87" s="162">
        <f t="shared" si="43"/>
        <v>51.884983807777232</v>
      </c>
      <c r="BN87" s="159">
        <f>SUM(O85:O111)*1000</f>
        <v>1.748678037969746</v>
      </c>
      <c r="BO87" s="157">
        <f t="shared" si="25"/>
        <v>12.408880147143927</v>
      </c>
      <c r="BP87" s="143">
        <f t="shared" si="26"/>
        <v>1162.0937016637604</v>
      </c>
      <c r="BQ87" s="157">
        <f t="shared" si="27"/>
        <v>95.101063657783342</v>
      </c>
      <c r="BR87" s="158">
        <f t="shared" si="28"/>
        <v>54.976315058578379</v>
      </c>
      <c r="BS87" s="96">
        <f t="shared" si="29"/>
        <v>51.884983807777232</v>
      </c>
      <c r="BT87" s="96">
        <f t="shared" si="30"/>
        <v>1.748678037969746</v>
      </c>
      <c r="BU87" s="160">
        <f t="shared" si="31"/>
        <v>12.212057372412517</v>
      </c>
      <c r="BW87" s="108"/>
      <c r="BX87" s="108"/>
      <c r="BY87" s="1"/>
    </row>
    <row r="88" spans="1:77" ht="12" customHeight="1" x14ac:dyDescent="0.2">
      <c r="A88" s="90">
        <f t="shared" si="44"/>
        <v>3</v>
      </c>
      <c r="B88" s="141">
        <f t="shared" si="32"/>
        <v>19.645515475424535</v>
      </c>
      <c r="C88" s="141">
        <f t="shared" si="33"/>
        <v>74.036814062540657</v>
      </c>
      <c r="D88" s="141">
        <f t="shared" si="34"/>
        <v>59.527608798704883</v>
      </c>
      <c r="E88" s="142">
        <f t="shared" si="5"/>
        <v>5.2165005128013475E-2</v>
      </c>
      <c r="F88" s="144">
        <f t="shared" si="35"/>
        <v>2.3548434193642583E-3</v>
      </c>
      <c r="G88" s="145">
        <f t="shared" si="36"/>
        <v>1429.0860843649198</v>
      </c>
      <c r="H88" s="141">
        <f t="shared" si="45"/>
        <v>1446.9690340184807</v>
      </c>
      <c r="I88" s="142">
        <f t="shared" si="6"/>
        <v>23.751910748431115</v>
      </c>
      <c r="J88" s="142">
        <f t="shared" si="7"/>
        <v>0.14190713841372321</v>
      </c>
      <c r="K88" s="142">
        <f t="shared" si="8"/>
        <v>0.13450455181066961</v>
      </c>
      <c r="L88" s="142">
        <f t="shared" si="9"/>
        <v>7.4025866030535958E-3</v>
      </c>
      <c r="M88" s="146">
        <f t="shared" si="37"/>
        <v>7.1171325136098335E-3</v>
      </c>
      <c r="N88" s="146">
        <f t="shared" ref="N88:N111" si="46">$L88*($D$86/$D88-$D$85/$D88)</f>
        <v>1.163762886630641E-5</v>
      </c>
      <c r="O88" s="146">
        <f>$L88-SUM(M88:N88)</f>
        <v>2.7381646057745603E-4</v>
      </c>
      <c r="P88" s="146">
        <v>0</v>
      </c>
      <c r="Q88" s="146">
        <v>0</v>
      </c>
      <c r="R88" s="146">
        <v>0</v>
      </c>
      <c r="S88" s="146">
        <v>0</v>
      </c>
      <c r="T88" s="146">
        <v>0</v>
      </c>
      <c r="U88" s="146">
        <v>0</v>
      </c>
      <c r="V88" s="146">
        <v>0</v>
      </c>
      <c r="W88" s="146">
        <v>0</v>
      </c>
      <c r="X88" s="146">
        <v>0</v>
      </c>
      <c r="Y88" s="146">
        <v>0</v>
      </c>
      <c r="Z88" s="146">
        <v>0</v>
      </c>
      <c r="AA88" s="146">
        <v>0</v>
      </c>
      <c r="AB88" s="146">
        <v>0</v>
      </c>
      <c r="AC88" s="146">
        <v>0</v>
      </c>
      <c r="AD88" s="146">
        <v>0</v>
      </c>
      <c r="AE88" s="146">
        <v>0</v>
      </c>
      <c r="AF88" s="146">
        <v>0</v>
      </c>
      <c r="AG88" s="146">
        <v>0</v>
      </c>
      <c r="AH88" s="146">
        <v>0</v>
      </c>
      <c r="AI88" s="146">
        <v>0</v>
      </c>
      <c r="AJ88" s="146">
        <v>0</v>
      </c>
      <c r="AK88" s="146">
        <v>0</v>
      </c>
      <c r="AL88" s="146">
        <v>0</v>
      </c>
      <c r="AM88" s="161">
        <f t="shared" si="38"/>
        <v>6.548505158474844E-3</v>
      </c>
      <c r="AN88" s="26">
        <f t="shared" si="39"/>
        <v>1.9645515475424535E-2</v>
      </c>
      <c r="AO88" s="118">
        <v>0</v>
      </c>
      <c r="AP88" s="118">
        <f t="shared" si="10"/>
        <v>2.3529319806996954E-3</v>
      </c>
      <c r="AQ88" s="147">
        <f t="shared" si="40"/>
        <v>1156.0860843649198</v>
      </c>
      <c r="AR88" s="148">
        <f t="shared" si="11"/>
        <v>0.26152773740249857</v>
      </c>
      <c r="AS88" s="149">
        <f t="shared" si="12"/>
        <v>27.20472675155839</v>
      </c>
      <c r="AT88" s="150">
        <f t="shared" si="13"/>
        <v>2.6437142401418536</v>
      </c>
      <c r="AU88" s="151">
        <f t="shared" si="14"/>
        <v>2.4440843982471892E-5</v>
      </c>
      <c r="AV88" s="151">
        <f t="shared" si="15"/>
        <v>5.0858022313348523E-5</v>
      </c>
      <c r="AW88" s="152">
        <f t="shared" si="16"/>
        <v>1556.1189342926873</v>
      </c>
      <c r="AX88" s="153">
        <f t="shared" si="17"/>
        <v>4.112796174483304E-2</v>
      </c>
      <c r="AY88" s="154">
        <f t="shared" si="18"/>
        <v>2.1504341793279424E-3</v>
      </c>
      <c r="AZ88" s="155">
        <f t="shared" si="19"/>
        <v>0.71586631010570279</v>
      </c>
      <c r="BA88" s="154">
        <f t="shared" si="20"/>
        <v>8.8085074158067156E-2</v>
      </c>
      <c r="BB88" s="154">
        <f t="shared" si="41"/>
        <v>1.7994312760461866</v>
      </c>
      <c r="BC88" s="154">
        <f t="shared" si="42"/>
        <v>1.2786251645605915</v>
      </c>
      <c r="BI88" s="154">
        <f t="shared" si="21"/>
        <v>43.706394317264639</v>
      </c>
      <c r="BJ88" s="154">
        <f t="shared" si="22"/>
        <v>33.633906744484548</v>
      </c>
      <c r="BK88" s="157">
        <f t="shared" si="23"/>
        <v>78.813288135591591</v>
      </c>
      <c r="BL88" s="158">
        <f t="shared" si="24"/>
        <v>54.05379131475069</v>
      </c>
      <c r="BM88" s="162">
        <f t="shared" si="43"/>
        <v>51.884983807777232</v>
      </c>
      <c r="BN88" s="159">
        <f>SUM(P85:P111)*1000</f>
        <v>3.2154945056703514</v>
      </c>
      <c r="BO88" s="157">
        <f t="shared" si="25"/>
        <v>9.8470924343920423</v>
      </c>
      <c r="BP88" s="143">
        <f t="shared" si="26"/>
        <v>1151.1625381477238</v>
      </c>
      <c r="BQ88" s="157">
        <f t="shared" si="27"/>
        <v>78.423330552919751</v>
      </c>
      <c r="BR88" s="158">
        <f t="shared" si="28"/>
        <v>53.306360983570912</v>
      </c>
      <c r="BS88" s="96">
        <f t="shared" si="29"/>
        <v>51.884983807777232</v>
      </c>
      <c r="BT88" s="96">
        <f t="shared" si="30"/>
        <v>3.2154945056703514</v>
      </c>
      <c r="BU88" s="160">
        <f t="shared" si="31"/>
        <v>9.7030722025994542</v>
      </c>
      <c r="BW88" s="108"/>
      <c r="BX88" s="108"/>
      <c r="BY88" s="1"/>
    </row>
    <row r="89" spans="1:77" ht="12" customHeight="1" x14ac:dyDescent="0.2">
      <c r="A89" s="90">
        <f t="shared" si="44"/>
        <v>4</v>
      </c>
      <c r="B89" s="141">
        <f t="shared" si="32"/>
        <v>26.194020633899381</v>
      </c>
      <c r="C89" s="141">
        <f t="shared" si="33"/>
        <v>68.175368772344825</v>
      </c>
      <c r="D89" s="141">
        <f t="shared" si="34"/>
        <v>61.650902087115291</v>
      </c>
      <c r="E89" s="142">
        <f t="shared" si="5"/>
        <v>5.3974554100724159E-2</v>
      </c>
      <c r="F89" s="144">
        <f t="shared" si="35"/>
        <v>2.3548434193642583E-3</v>
      </c>
      <c r="G89" s="145">
        <f t="shared" si="36"/>
        <v>1419.3830121623203</v>
      </c>
      <c r="H89" s="141">
        <f t="shared" si="45"/>
        <v>1446.9690340184807</v>
      </c>
      <c r="I89" s="142">
        <f t="shared" si="6"/>
        <v>28.902978215764321</v>
      </c>
      <c r="J89" s="142">
        <f t="shared" si="7"/>
        <v>0.17268248326102409</v>
      </c>
      <c r="K89" s="142">
        <f t="shared" si="8"/>
        <v>0.16336202322600454</v>
      </c>
      <c r="L89" s="142">
        <f t="shared" si="9"/>
        <v>9.3204600350195455E-3</v>
      </c>
      <c r="M89" s="146">
        <f t="shared" si="37"/>
        <v>8.6524262356071479E-3</v>
      </c>
      <c r="N89" s="146">
        <f t="shared" si="46"/>
        <v>1.4148075103356279E-5</v>
      </c>
      <c r="O89" s="146">
        <f t="shared" ref="O89:O111" si="47">$L89*($D$87/$D89-$D$86/$D89)</f>
        <v>1.1236380540707799E-4</v>
      </c>
      <c r="P89" s="146">
        <f>$L89-SUM(M89:O89)</f>
        <v>5.4152191890196287E-4</v>
      </c>
      <c r="Q89" s="146">
        <v>0</v>
      </c>
      <c r="R89" s="146">
        <v>0</v>
      </c>
      <c r="S89" s="146">
        <v>0</v>
      </c>
      <c r="T89" s="146">
        <v>0</v>
      </c>
      <c r="U89" s="146">
        <v>0</v>
      </c>
      <c r="V89" s="146">
        <v>0</v>
      </c>
      <c r="W89" s="146">
        <v>0</v>
      </c>
      <c r="X89" s="146">
        <v>0</v>
      </c>
      <c r="Y89" s="146">
        <v>0</v>
      </c>
      <c r="Z89" s="146">
        <v>0</v>
      </c>
      <c r="AA89" s="146">
        <v>0</v>
      </c>
      <c r="AB89" s="146">
        <v>0</v>
      </c>
      <c r="AC89" s="146">
        <v>0</v>
      </c>
      <c r="AD89" s="146">
        <v>0</v>
      </c>
      <c r="AE89" s="146">
        <v>0</v>
      </c>
      <c r="AF89" s="146">
        <v>0</v>
      </c>
      <c r="AG89" s="146">
        <v>0</v>
      </c>
      <c r="AH89" s="146">
        <v>0</v>
      </c>
      <c r="AI89" s="146">
        <v>0</v>
      </c>
      <c r="AJ89" s="146">
        <v>0</v>
      </c>
      <c r="AK89" s="146">
        <v>0</v>
      </c>
      <c r="AL89" s="146">
        <v>0</v>
      </c>
      <c r="AM89" s="161">
        <f t="shared" si="38"/>
        <v>6.5485051584748466E-3</v>
      </c>
      <c r="AN89" s="26">
        <f t="shared" si="39"/>
        <v>2.6194020633899383E-2</v>
      </c>
      <c r="AO89" s="118">
        <v>0</v>
      </c>
      <c r="AP89" s="118">
        <f t="shared" si="10"/>
        <v>2.3449135001007838E-3</v>
      </c>
      <c r="AQ89" s="147">
        <f t="shared" si="40"/>
        <v>1146.3830121623203</v>
      </c>
      <c r="AR89" s="148">
        <f t="shared" si="11"/>
        <v>0.26289574913367836</v>
      </c>
      <c r="AS89" s="149">
        <f t="shared" si="12"/>
        <v>27.063163468537223</v>
      </c>
      <c r="AT89" s="150">
        <f t="shared" si="13"/>
        <v>2.6299573341959834</v>
      </c>
      <c r="AU89" s="151">
        <f t="shared" si="14"/>
        <v>2.4440843982471892E-5</v>
      </c>
      <c r="AV89" s="151">
        <f t="shared" si="15"/>
        <v>5.0684704908271068E-5</v>
      </c>
      <c r="AW89" s="152">
        <f t="shared" si="16"/>
        <v>1561.4401154295135</v>
      </c>
      <c r="AX89" s="153">
        <f t="shared" si="17"/>
        <v>4.0987803097652056E-2</v>
      </c>
      <c r="AY89" s="154">
        <f t="shared" si="18"/>
        <v>2.131953858746359E-3</v>
      </c>
      <c r="AZ89" s="155">
        <f t="shared" si="19"/>
        <v>0.71600407983516567</v>
      </c>
      <c r="BA89" s="154">
        <f t="shared" si="20"/>
        <v>8.75992510359552E-2</v>
      </c>
      <c r="BB89" s="154">
        <f t="shared" si="41"/>
        <v>1.6348919703212326</v>
      </c>
      <c r="BC89" s="154">
        <f t="shared" si="42"/>
        <v>1.1412740531463708</v>
      </c>
      <c r="BI89" s="154">
        <f t="shared" si="21"/>
        <v>39.039671411236355</v>
      </c>
      <c r="BJ89" s="154">
        <f t="shared" si="22"/>
        <v>29.876970510885183</v>
      </c>
      <c r="BK89" s="157">
        <f t="shared" si="23"/>
        <v>69.327110902594399</v>
      </c>
      <c r="BL89" s="158">
        <f t="shared" si="24"/>
        <v>52.588171271681951</v>
      </c>
      <c r="BM89" s="162">
        <f t="shared" si="43"/>
        <v>51.884983807777232</v>
      </c>
      <c r="BN89" s="159">
        <f>SUM(Q85:Q111)*1000</f>
        <v>4.3370051531260909</v>
      </c>
      <c r="BO89" s="157">
        <f t="shared" si="25"/>
        <v>8.3183258768499968</v>
      </c>
      <c r="BP89" s="143">
        <f t="shared" si="26"/>
        <v>1142.2238492238953</v>
      </c>
      <c r="BQ89" s="157">
        <f t="shared" si="27"/>
        <v>69.034490550977125</v>
      </c>
      <c r="BR89" s="158">
        <f t="shared" si="28"/>
        <v>51.969075370880276</v>
      </c>
      <c r="BS89" s="96">
        <f t="shared" si="29"/>
        <v>51.884983807777232</v>
      </c>
      <c r="BT89" s="96">
        <f t="shared" si="30"/>
        <v>4.3370051531260909</v>
      </c>
      <c r="BU89" s="160">
        <f t="shared" si="31"/>
        <v>8.2028810190285402</v>
      </c>
      <c r="BW89" s="108"/>
      <c r="BX89" s="108"/>
      <c r="BY89" s="1"/>
    </row>
    <row r="90" spans="1:77" ht="12" customHeight="1" x14ac:dyDescent="0.2">
      <c r="A90" s="90">
        <f t="shared" si="44"/>
        <v>5</v>
      </c>
      <c r="B90" s="141">
        <f t="shared" si="32"/>
        <v>32.742525792374224</v>
      </c>
      <c r="C90" s="141">
        <f t="shared" si="33"/>
        <v>62.756501374586527</v>
      </c>
      <c r="D90" s="141">
        <f t="shared" si="34"/>
        <v>64.373108412128516</v>
      </c>
      <c r="E90" s="142">
        <f t="shared" si="5"/>
        <v>5.6289465999489252E-2</v>
      </c>
      <c r="F90" s="144">
        <f t="shared" si="35"/>
        <v>2.3548434193642583E-3</v>
      </c>
      <c r="G90" s="145">
        <f t="shared" si="36"/>
        <v>1411.1801311432916</v>
      </c>
      <c r="H90" s="141">
        <f t="shared" si="45"/>
        <v>1446.9690340184807</v>
      </c>
      <c r="I90" s="142">
        <f t="shared" si="6"/>
        <v>31.262728944684529</v>
      </c>
      <c r="J90" s="142">
        <f t="shared" si="7"/>
        <v>0.18678094787961833</v>
      </c>
      <c r="K90" s="142">
        <f t="shared" si="8"/>
        <v>0.17626714806459617</v>
      </c>
      <c r="L90" s="142">
        <f t="shared" si="9"/>
        <v>1.0513799815022151E-2</v>
      </c>
      <c r="M90" s="146">
        <f t="shared" si="37"/>
        <v>9.347494443395634E-3</v>
      </c>
      <c r="N90" s="146">
        <f t="shared" si="46"/>
        <v>1.5284620730901617E-5</v>
      </c>
      <c r="O90" s="146">
        <f t="shared" si="47"/>
        <v>1.2139023414716891E-4</v>
      </c>
      <c r="P90" s="146">
        <f t="shared" ref="P90:P111" si="48">$L90*($D$88/$D90-$D$87/$D90)</f>
        <v>2.38234634276119E-4</v>
      </c>
      <c r="Q90" s="146">
        <f>$L90-SUM(M90:P90)</f>
        <v>7.9139588247232641E-4</v>
      </c>
      <c r="R90" s="146">
        <v>0</v>
      </c>
      <c r="S90" s="146">
        <v>0</v>
      </c>
      <c r="T90" s="146">
        <v>0</v>
      </c>
      <c r="U90" s="146">
        <v>0</v>
      </c>
      <c r="V90" s="146">
        <v>0</v>
      </c>
      <c r="W90" s="146">
        <v>0</v>
      </c>
      <c r="X90" s="146">
        <v>0</v>
      </c>
      <c r="Y90" s="146">
        <v>0</v>
      </c>
      <c r="Z90" s="146">
        <v>0</v>
      </c>
      <c r="AA90" s="146">
        <v>0</v>
      </c>
      <c r="AB90" s="146">
        <v>0</v>
      </c>
      <c r="AC90" s="146">
        <v>0</v>
      </c>
      <c r="AD90" s="146">
        <v>0</v>
      </c>
      <c r="AE90" s="146">
        <v>0</v>
      </c>
      <c r="AF90" s="146">
        <v>0</v>
      </c>
      <c r="AG90" s="146">
        <v>0</v>
      </c>
      <c r="AH90" s="146">
        <v>0</v>
      </c>
      <c r="AI90" s="146">
        <v>0</v>
      </c>
      <c r="AJ90" s="146">
        <v>0</v>
      </c>
      <c r="AK90" s="146">
        <v>0</v>
      </c>
      <c r="AL90" s="146">
        <v>0</v>
      </c>
      <c r="AM90" s="161">
        <f t="shared" si="38"/>
        <v>6.5485051584748422E-3</v>
      </c>
      <c r="AN90" s="26">
        <f t="shared" si="39"/>
        <v>3.2742525792374223E-2</v>
      </c>
      <c r="AO90" s="118">
        <v>0</v>
      </c>
      <c r="AP90" s="118">
        <f t="shared" si="10"/>
        <v>2.3380748589186496E-3</v>
      </c>
      <c r="AQ90" s="147">
        <f t="shared" si="40"/>
        <v>1138.1801311432916</v>
      </c>
      <c r="AR90" s="148">
        <f t="shared" si="11"/>
        <v>0.26406695955819909</v>
      </c>
      <c r="AS90" s="149">
        <f t="shared" si="12"/>
        <v>26.943130810048295</v>
      </c>
      <c r="AT90" s="150">
        <f t="shared" si="13"/>
        <v>2.6182927418099897</v>
      </c>
      <c r="AU90" s="151">
        <f t="shared" si="14"/>
        <v>2.4440843982471892E-5</v>
      </c>
      <c r="AV90" s="151">
        <f t="shared" si="15"/>
        <v>5.0536889430098825E-5</v>
      </c>
      <c r="AW90" s="152">
        <f t="shared" si="16"/>
        <v>1566.0071756483419</v>
      </c>
      <c r="AX90" s="153">
        <f t="shared" si="17"/>
        <v>4.0868267396989025E-2</v>
      </c>
      <c r="AY90" s="154">
        <f t="shared" si="18"/>
        <v>2.1163080554230732E-3</v>
      </c>
      <c r="AZ90" s="155">
        <f t="shared" si="19"/>
        <v>0.7160962958426218</v>
      </c>
      <c r="BA90" s="154">
        <f t="shared" si="20"/>
        <v>8.7188540986213467E-2</v>
      </c>
      <c r="BB90" s="154">
        <f t="shared" si="41"/>
        <v>1.5176993756095176</v>
      </c>
      <c r="BC90" s="154">
        <f t="shared" si="42"/>
        <v>1.0489289967626583</v>
      </c>
      <c r="BI90" s="154">
        <f t="shared" si="21"/>
        <v>35.902622041174475</v>
      </c>
      <c r="BJ90" s="154">
        <f t="shared" si="22"/>
        <v>27.347371425156236</v>
      </c>
      <c r="BK90" s="157">
        <f t="shared" si="23"/>
        <v>62.929123844230965</v>
      </c>
      <c r="BL90" s="158">
        <f t="shared" si="24"/>
        <v>51.372374016260402</v>
      </c>
      <c r="BM90" s="162">
        <f t="shared" si="43"/>
        <v>51.884983807777232</v>
      </c>
      <c r="BN90" s="159">
        <f>SUM(R85:R111)*1000</f>
        <v>5.0775398368602893</v>
      </c>
      <c r="BO90" s="157">
        <f t="shared" si="25"/>
        <v>7.2604713455692194</v>
      </c>
      <c r="BP90" s="143">
        <f t="shared" si="26"/>
        <v>1134.549895470507</v>
      </c>
      <c r="BQ90" s="157">
        <f t="shared" si="27"/>
        <v>62.695341104367792</v>
      </c>
      <c r="BR90" s="158">
        <f t="shared" si="28"/>
        <v>50.841038871661596</v>
      </c>
      <c r="BS90" s="96">
        <f t="shared" si="29"/>
        <v>51.884983807777232</v>
      </c>
      <c r="BT90" s="96">
        <f t="shared" si="30"/>
        <v>5.0775398368602893</v>
      </c>
      <c r="BU90" s="160">
        <f t="shared" si="31"/>
        <v>7.1635893111050821</v>
      </c>
      <c r="BW90" s="108"/>
      <c r="BX90" s="108"/>
      <c r="BY90" s="1"/>
    </row>
    <row r="91" spans="1:77" ht="12" customHeight="1" x14ac:dyDescent="0.2">
      <c r="A91" s="90">
        <f t="shared" si="44"/>
        <v>6</v>
      </c>
      <c r="B91" s="141">
        <f t="shared" si="32"/>
        <v>39.29103095084907</v>
      </c>
      <c r="C91" s="141">
        <f t="shared" si="33"/>
        <v>57.817368232795182</v>
      </c>
      <c r="D91" s="141">
        <f t="shared" si="34"/>
        <v>67.621936416708493</v>
      </c>
      <c r="E91" s="142">
        <f t="shared" si="5"/>
        <v>5.9044793712787258E-2</v>
      </c>
      <c r="F91" s="144">
        <f t="shared" si="35"/>
        <v>2.3548434193642583E-3</v>
      </c>
      <c r="G91" s="145">
        <f t="shared" si="36"/>
        <v>1404.0165418321865</v>
      </c>
      <c r="H91" s="141">
        <f t="shared" si="45"/>
        <v>1446.9690340184807</v>
      </c>
      <c r="I91" s="142">
        <f t="shared" si="6"/>
        <v>31.379395370553144</v>
      </c>
      <c r="J91" s="142">
        <f t="shared" si="7"/>
        <v>0.18747797806044558</v>
      </c>
      <c r="K91" s="142">
        <f t="shared" si="8"/>
        <v>0.17640837952017613</v>
      </c>
      <c r="L91" s="142">
        <f t="shared" si="9"/>
        <v>1.1069598540269454E-2</v>
      </c>
      <c r="M91" s="146">
        <f t="shared" si="37"/>
        <v>9.368806303903748E-3</v>
      </c>
      <c r="N91" s="146">
        <f t="shared" si="46"/>
        <v>1.5319468968245653E-5</v>
      </c>
      <c r="O91" s="146">
        <f t="shared" si="47"/>
        <v>1.216669983381354E-4</v>
      </c>
      <c r="P91" s="146">
        <f t="shared" si="48"/>
        <v>2.3877779836406013E-4</v>
      </c>
      <c r="Q91" s="146">
        <f t="shared" ref="Q91:Q111" si="49">$L91*($D$89/$D91-$D$88/$D91)</f>
        <v>3.4757958040586864E-4</v>
      </c>
      <c r="R91" s="146">
        <f>$L91-SUM(M91:Q91)</f>
        <v>9.7744839028939684E-4</v>
      </c>
      <c r="S91" s="146">
        <v>0</v>
      </c>
      <c r="T91" s="146">
        <v>0</v>
      </c>
      <c r="U91" s="146">
        <v>0</v>
      </c>
      <c r="V91" s="146">
        <v>0</v>
      </c>
      <c r="W91" s="146">
        <v>0</v>
      </c>
      <c r="X91" s="146">
        <v>0</v>
      </c>
      <c r="Y91" s="146">
        <v>0</v>
      </c>
      <c r="Z91" s="146">
        <v>0</v>
      </c>
      <c r="AA91" s="146">
        <v>0</v>
      </c>
      <c r="AB91" s="146">
        <v>0</v>
      </c>
      <c r="AC91" s="146">
        <v>0</v>
      </c>
      <c r="AD91" s="146">
        <v>0</v>
      </c>
      <c r="AE91" s="146">
        <v>0</v>
      </c>
      <c r="AF91" s="146">
        <v>0</v>
      </c>
      <c r="AG91" s="146">
        <v>0</v>
      </c>
      <c r="AH91" s="146">
        <v>0</v>
      </c>
      <c r="AI91" s="146">
        <v>0</v>
      </c>
      <c r="AJ91" s="146">
        <v>0</v>
      </c>
      <c r="AK91" s="146">
        <v>0</v>
      </c>
      <c r="AL91" s="146">
        <v>0</v>
      </c>
      <c r="AM91" s="161">
        <f t="shared" si="38"/>
        <v>6.5485051584748466E-3</v>
      </c>
      <c r="AN91" s="26">
        <f t="shared" si="39"/>
        <v>3.9291030950849071E-2</v>
      </c>
      <c r="AO91" s="118">
        <v>0</v>
      </c>
      <c r="AP91" s="118">
        <f t="shared" si="10"/>
        <v>2.332057772693553E-3</v>
      </c>
      <c r="AQ91" s="147">
        <f t="shared" si="40"/>
        <v>1131.0165418321865</v>
      </c>
      <c r="AR91" s="148">
        <f t="shared" si="11"/>
        <v>0.26510101454374407</v>
      </c>
      <c r="AS91" s="149">
        <f t="shared" si="12"/>
        <v>26.838036233974073</v>
      </c>
      <c r="AT91" s="150">
        <f t="shared" si="13"/>
        <v>2.6080798097020361</v>
      </c>
      <c r="AU91" s="151">
        <f t="shared" si="14"/>
        <v>2.4440843982471892E-5</v>
      </c>
      <c r="AV91" s="151">
        <f t="shared" si="15"/>
        <v>5.0406831651970277E-5</v>
      </c>
      <c r="AW91" s="152">
        <f t="shared" si="16"/>
        <v>1570.0477274371235</v>
      </c>
      <c r="AX91" s="153">
        <f t="shared" si="17"/>
        <v>4.0763092026807855E-2</v>
      </c>
      <c r="AY91" s="154">
        <f t="shared" si="18"/>
        <v>2.1026280480806203E-3</v>
      </c>
      <c r="AZ91" s="155">
        <f t="shared" si="19"/>
        <v>0.71615898414626167</v>
      </c>
      <c r="BA91" s="154">
        <f t="shared" si="20"/>
        <v>8.6829867232995739E-2</v>
      </c>
      <c r="BB91" s="154">
        <f t="shared" si="41"/>
        <v>1.4282098802566106</v>
      </c>
      <c r="BC91" s="154">
        <f t="shared" si="42"/>
        <v>0.98076240349207544</v>
      </c>
      <c r="BI91" s="154">
        <f t="shared" si="21"/>
        <v>33.587131478120853</v>
      </c>
      <c r="BJ91" s="154">
        <f t="shared" si="22"/>
        <v>25.478394808817526</v>
      </c>
      <c r="BK91" s="157">
        <f t="shared" si="23"/>
        <v>58.198617391846874</v>
      </c>
      <c r="BL91" s="158">
        <f t="shared" si="24"/>
        <v>50.327816711780116</v>
      </c>
      <c r="BM91" s="162">
        <f t="shared" si="43"/>
        <v>51.884983807777232</v>
      </c>
      <c r="BN91" s="159">
        <f>SUM(S85:S111)*1000</f>
        <v>5.4711881292191196</v>
      </c>
      <c r="BO91" s="157">
        <f t="shared" si="25"/>
        <v>6.4793663871190024</v>
      </c>
      <c r="BP91" s="143">
        <f t="shared" si="26"/>
        <v>1127.7768586386269</v>
      </c>
      <c r="BQ91" s="157">
        <f t="shared" si="27"/>
        <v>58.004244077143689</v>
      </c>
      <c r="BR91" s="158">
        <f t="shared" si="28"/>
        <v>49.860643093497508</v>
      </c>
      <c r="BS91" s="96">
        <f t="shared" si="29"/>
        <v>51.884983807777232</v>
      </c>
      <c r="BT91" s="96">
        <f t="shared" si="30"/>
        <v>5.4711881292191196</v>
      </c>
      <c r="BU91" s="160">
        <f t="shared" si="31"/>
        <v>6.3955988866295259</v>
      </c>
      <c r="BW91" s="108"/>
      <c r="BX91" s="108"/>
      <c r="BY91" s="1"/>
    </row>
    <row r="92" spans="1:77" ht="12" customHeight="1" x14ac:dyDescent="0.2">
      <c r="A92" s="90">
        <f t="shared" si="44"/>
        <v>7</v>
      </c>
      <c r="B92" s="141">
        <f t="shared" si="32"/>
        <v>45.839536109323916</v>
      </c>
      <c r="C92" s="141">
        <f t="shared" si="33"/>
        <v>53.36069662470549</v>
      </c>
      <c r="D92" s="141">
        <f t="shared" si="34"/>
        <v>71.325460548616334</v>
      </c>
      <c r="E92" s="142">
        <f t="shared" si="5"/>
        <v>6.2175937775618806E-2</v>
      </c>
      <c r="F92" s="144">
        <f t="shared" si="35"/>
        <v>2.3548434193642583E-3</v>
      </c>
      <c r="G92" s="145">
        <f t="shared" si="36"/>
        <v>1397.6209429455569</v>
      </c>
      <c r="H92" s="141">
        <f t="shared" si="45"/>
        <v>1446.9690340184807</v>
      </c>
      <c r="I92" s="142">
        <f t="shared" si="6"/>
        <v>29.961759396250883</v>
      </c>
      <c r="J92" s="142">
        <f t="shared" si="7"/>
        <v>0.17900823149747183</v>
      </c>
      <c r="K92" s="142">
        <f t="shared" si="8"/>
        <v>0.16787822683456147</v>
      </c>
      <c r="L92" s="142">
        <f t="shared" si="9"/>
        <v>1.1130004662910364E-2</v>
      </c>
      <c r="M92" s="146">
        <f t="shared" si="37"/>
        <v>8.9308080313836198E-3</v>
      </c>
      <c r="N92" s="146">
        <f t="shared" si="46"/>
        <v>1.4603273038223911E-5</v>
      </c>
      <c r="O92" s="146">
        <f t="shared" si="47"/>
        <v>1.1597898074376909E-4</v>
      </c>
      <c r="P92" s="146">
        <f t="shared" si="48"/>
        <v>2.2761476864531824E-4</v>
      </c>
      <c r="Q92" s="146">
        <f t="shared" si="49"/>
        <v>3.313299909872456E-4</v>
      </c>
      <c r="R92" s="146">
        <f t="shared" ref="R92:R111" si="50">$L92*($D$90/$D92-$D$89/$D92)</f>
        <v>4.2478757035364169E-4</v>
      </c>
      <c r="S92" s="146">
        <f>$L92-SUM(M92:R92)</f>
        <v>1.0848820477585459E-3</v>
      </c>
      <c r="T92" s="146">
        <v>0</v>
      </c>
      <c r="U92" s="146">
        <v>0</v>
      </c>
      <c r="V92" s="146">
        <v>0</v>
      </c>
      <c r="W92" s="146">
        <v>0</v>
      </c>
      <c r="X92" s="146">
        <v>0</v>
      </c>
      <c r="Y92" s="146">
        <v>0</v>
      </c>
      <c r="Z92" s="146">
        <v>0</v>
      </c>
      <c r="AA92" s="146">
        <v>0</v>
      </c>
      <c r="AB92" s="146">
        <v>0</v>
      </c>
      <c r="AC92" s="146">
        <v>0</v>
      </c>
      <c r="AD92" s="146">
        <v>0</v>
      </c>
      <c r="AE92" s="146">
        <v>0</v>
      </c>
      <c r="AF92" s="146">
        <v>0</v>
      </c>
      <c r="AG92" s="146">
        <v>0</v>
      </c>
      <c r="AH92" s="146">
        <v>0</v>
      </c>
      <c r="AI92" s="146">
        <v>0</v>
      </c>
      <c r="AJ92" s="146">
        <v>0</v>
      </c>
      <c r="AK92" s="146">
        <v>0</v>
      </c>
      <c r="AL92" s="146">
        <v>0</v>
      </c>
      <c r="AM92" s="161">
        <f t="shared" si="38"/>
        <v>6.5485051584748466E-3</v>
      </c>
      <c r="AN92" s="26">
        <f t="shared" si="39"/>
        <v>4.5839536109323918E-2</v>
      </c>
      <c r="AO92" s="118">
        <v>0</v>
      </c>
      <c r="AP92" s="118">
        <f t="shared" si="10"/>
        <v>2.3266503994862713E-3</v>
      </c>
      <c r="AQ92" s="147">
        <f t="shared" si="40"/>
        <v>1124.6209429455569</v>
      </c>
      <c r="AR92" s="148">
        <f t="shared" si="11"/>
        <v>0.26603321126227697</v>
      </c>
      <c r="AS92" s="149">
        <f t="shared" si="12"/>
        <v>26.743994105961292</v>
      </c>
      <c r="AT92" s="150">
        <f t="shared" si="13"/>
        <v>2.5989409377967565</v>
      </c>
      <c r="AU92" s="151">
        <f t="shared" si="14"/>
        <v>2.4440843982471892E-5</v>
      </c>
      <c r="AV92" s="151">
        <f t="shared" si="15"/>
        <v>5.0289952664609694E-5</v>
      </c>
      <c r="AW92" s="152">
        <f t="shared" si="16"/>
        <v>1573.696678743848</v>
      </c>
      <c r="AX92" s="153">
        <f t="shared" si="17"/>
        <v>4.0668574106088796E-2</v>
      </c>
      <c r="AY92" s="154">
        <f t="shared" si="18"/>
        <v>2.0904020024067544E-3</v>
      </c>
      <c r="AZ92" s="155">
        <f t="shared" si="19"/>
        <v>0.71620112170671857</v>
      </c>
      <c r="BA92" s="154">
        <f t="shared" si="20"/>
        <v>8.650964599234108E-2</v>
      </c>
      <c r="BB92" s="154">
        <f t="shared" si="41"/>
        <v>1.356676989232573</v>
      </c>
      <c r="BC92" s="154">
        <f t="shared" si="42"/>
        <v>0.92747964308834718</v>
      </c>
      <c r="BI92" s="154">
        <f t="shared" si="21"/>
        <v>31.777294500786891</v>
      </c>
      <c r="BJ92" s="154">
        <f t="shared" si="22"/>
        <v>24.016596715323349</v>
      </c>
      <c r="BK92" s="157">
        <f t="shared" si="23"/>
        <v>54.497823215899892</v>
      </c>
      <c r="BL92" s="158">
        <f t="shared" si="24"/>
        <v>49.408655145220862</v>
      </c>
      <c r="BM92" s="162">
        <f t="shared" si="43"/>
        <v>51.884983807777232</v>
      </c>
      <c r="BN92" s="159">
        <f>SUM(T85:T111)*1000</f>
        <v>5.5884651822999105</v>
      </c>
      <c r="BO92" s="157">
        <f t="shared" si="25"/>
        <v>5.8795205852012442</v>
      </c>
      <c r="BP92" s="143">
        <f t="shared" si="26"/>
        <v>1121.6811826529563</v>
      </c>
      <c r="BQ92" s="157">
        <f t="shared" si="27"/>
        <v>54.331564117921744</v>
      </c>
      <c r="BR92" s="158">
        <f t="shared" si="28"/>
        <v>48.990370253278165</v>
      </c>
      <c r="BS92" s="96">
        <f t="shared" si="29"/>
        <v>51.884983807777232</v>
      </c>
      <c r="BT92" s="96">
        <f t="shared" si="30"/>
        <v>5.5884651822999105</v>
      </c>
      <c r="BU92" s="160">
        <f t="shared" si="31"/>
        <v>5.8055034799585172</v>
      </c>
      <c r="BW92" s="108"/>
      <c r="BX92" s="108"/>
      <c r="BY92" s="1"/>
    </row>
    <row r="93" spans="1:77" ht="12" customHeight="1" x14ac:dyDescent="0.2">
      <c r="A93" s="90">
        <f t="shared" si="44"/>
        <v>8</v>
      </c>
      <c r="B93" s="141">
        <f t="shared" si="32"/>
        <v>52.388041267798762</v>
      </c>
      <c r="C93" s="141">
        <f t="shared" si="33"/>
        <v>49.365441133754331</v>
      </c>
      <c r="D93" s="141">
        <f t="shared" si="34"/>
        <v>75.416723608363085</v>
      </c>
      <c r="E93" s="142">
        <f t="shared" si="5"/>
        <v>6.5622784448897797E-2</v>
      </c>
      <c r="F93" s="144">
        <f t="shared" si="35"/>
        <v>2.3548434193642583E-3</v>
      </c>
      <c r="G93" s="145">
        <f t="shared" si="36"/>
        <v>1391.8154394655983</v>
      </c>
      <c r="H93" s="141">
        <f t="shared" si="45"/>
        <v>1446.9690340184807</v>
      </c>
      <c r="I93" s="142">
        <f t="shared" si="6"/>
        <v>27.65813632921979</v>
      </c>
      <c r="J93" s="142">
        <f t="shared" si="7"/>
        <v>0.16524510477943211</v>
      </c>
      <c r="K93" s="142">
        <f t="shared" si="8"/>
        <v>0.15440126088725589</v>
      </c>
      <c r="L93" s="142">
        <f t="shared" si="9"/>
        <v>1.0843843892176214E-2</v>
      </c>
      <c r="M93" s="146">
        <f t="shared" si="37"/>
        <v>8.2291615525577171E-3</v>
      </c>
      <c r="N93" s="146">
        <f t="shared" si="46"/>
        <v>1.3455970904913561E-5</v>
      </c>
      <c r="O93" s="146">
        <f t="shared" si="47"/>
        <v>1.0686712399231596E-4</v>
      </c>
      <c r="P93" s="146">
        <f t="shared" si="48"/>
        <v>2.097322768945677E-4</v>
      </c>
      <c r="Q93" s="146">
        <f t="shared" si="49"/>
        <v>3.0529914129383853E-4</v>
      </c>
      <c r="R93" s="146">
        <f t="shared" si="50"/>
        <v>3.9141425161918109E-4</v>
      </c>
      <c r="S93" s="146">
        <f t="shared" ref="S93:S111" si="51">$L93*($D$91/$D93-$D$90/$D93)</f>
        <v>4.6713490096895349E-4</v>
      </c>
      <c r="T93" s="146">
        <f>$L93-SUM(M93:S93)</f>
        <v>1.1207786739447275E-3</v>
      </c>
      <c r="U93" s="146">
        <v>0</v>
      </c>
      <c r="V93" s="146">
        <v>0</v>
      </c>
      <c r="W93" s="146">
        <v>0</v>
      </c>
      <c r="X93" s="146">
        <v>0</v>
      </c>
      <c r="Y93" s="146">
        <v>0</v>
      </c>
      <c r="Z93" s="146">
        <v>0</v>
      </c>
      <c r="AA93" s="146">
        <v>0</v>
      </c>
      <c r="AB93" s="146">
        <v>0</v>
      </c>
      <c r="AC93" s="146">
        <v>0</v>
      </c>
      <c r="AD93" s="146">
        <v>0</v>
      </c>
      <c r="AE93" s="146">
        <v>0</v>
      </c>
      <c r="AF93" s="146">
        <v>0</v>
      </c>
      <c r="AG93" s="146">
        <v>0</v>
      </c>
      <c r="AH93" s="146">
        <v>0</v>
      </c>
      <c r="AI93" s="146">
        <v>0</v>
      </c>
      <c r="AJ93" s="146">
        <v>0</v>
      </c>
      <c r="AK93" s="146">
        <v>0</v>
      </c>
      <c r="AL93" s="146">
        <v>0</v>
      </c>
      <c r="AM93" s="161">
        <f t="shared" si="38"/>
        <v>6.5485051584748466E-3</v>
      </c>
      <c r="AN93" s="26">
        <f t="shared" si="39"/>
        <v>5.2388041267798766E-2</v>
      </c>
      <c r="AO93" s="118">
        <v>0</v>
      </c>
      <c r="AP93" s="118">
        <f t="shared" si="10"/>
        <v>2.3217130565822016E-3</v>
      </c>
      <c r="AQ93" s="147">
        <f t="shared" si="40"/>
        <v>1118.8154394655983</v>
      </c>
      <c r="AR93" s="148">
        <f t="shared" si="11"/>
        <v>0.26688686049784754</v>
      </c>
      <c r="AS93" s="149">
        <f t="shared" si="12"/>
        <v>26.658452277180096</v>
      </c>
      <c r="AT93" s="150">
        <f t="shared" si="13"/>
        <v>2.5906281121270895</v>
      </c>
      <c r="AU93" s="151">
        <f t="shared" si="14"/>
        <v>2.4440843982471892E-5</v>
      </c>
      <c r="AV93" s="151">
        <f t="shared" si="15"/>
        <v>5.0183233261905502E-5</v>
      </c>
      <c r="AW93" s="152">
        <f t="shared" si="16"/>
        <v>1577.0432939114403</v>
      </c>
      <c r="AX93" s="153">
        <f t="shared" si="17"/>
        <v>4.058227205751902E-2</v>
      </c>
      <c r="AY93" s="154">
        <f t="shared" si="18"/>
        <v>2.0792939449656607E-3</v>
      </c>
      <c r="AZ93" s="155">
        <f t="shared" si="19"/>
        <v>0.71622823998094876</v>
      </c>
      <c r="BA93" s="154">
        <f t="shared" si="20"/>
        <v>8.6218970238603032E-2</v>
      </c>
      <c r="BB93" s="154">
        <f t="shared" si="41"/>
        <v>1.2976149165838158</v>
      </c>
      <c r="BC93" s="154">
        <f t="shared" si="42"/>
        <v>0.88418040804251474</v>
      </c>
      <c r="BI93" s="154">
        <f t="shared" si="21"/>
        <v>30.306603364449643</v>
      </c>
      <c r="BJ93" s="154">
        <f t="shared" si="22"/>
        <v>22.828117986155675</v>
      </c>
      <c r="BK93" s="157">
        <f t="shared" si="23"/>
        <v>51.488874477642078</v>
      </c>
      <c r="BL93" s="158">
        <f t="shared" si="24"/>
        <v>48.585154941484198</v>
      </c>
      <c r="BM93" s="162">
        <f t="shared" si="43"/>
        <v>51.884983807777232</v>
      </c>
      <c r="BN93" s="159">
        <f>SUM(U85:U111)*1000</f>
        <v>5.5077727904666025</v>
      </c>
      <c r="BO93" s="157">
        <f t="shared" si="25"/>
        <v>5.4044594021139263</v>
      </c>
      <c r="BP93" s="143">
        <f t="shared" si="26"/>
        <v>1116.1132097645414</v>
      </c>
      <c r="BQ93" s="157">
        <f t="shared" si="27"/>
        <v>51.343611679173776</v>
      </c>
      <c r="BR93" s="158">
        <f t="shared" si="28"/>
        <v>48.205346363779043</v>
      </c>
      <c r="BS93" s="96">
        <f t="shared" si="29"/>
        <v>51.884983807777232</v>
      </c>
      <c r="BT93" s="96">
        <f t="shared" si="30"/>
        <v>5.5077727904666025</v>
      </c>
      <c r="BU93" s="160">
        <f t="shared" si="31"/>
        <v>5.3379729374845697</v>
      </c>
      <c r="BW93" s="108"/>
      <c r="BX93" s="108"/>
      <c r="BY93" s="1"/>
    </row>
    <row r="94" spans="1:77" ht="12" customHeight="1" x14ac:dyDescent="0.2">
      <c r="A94" s="90">
        <f t="shared" si="44"/>
        <v>9</v>
      </c>
      <c r="B94" s="141">
        <f t="shared" si="32"/>
        <v>58.936546426273608</v>
      </c>
      <c r="C94" s="141">
        <f t="shared" si="33"/>
        <v>45.796671849588115</v>
      </c>
      <c r="D94" s="141">
        <f t="shared" si="34"/>
        <v>79.83613791253542</v>
      </c>
      <c r="E94" s="142">
        <f t="shared" si="5"/>
        <v>6.9331863207641731E-2</v>
      </c>
      <c r="F94" s="144">
        <f t="shared" si="35"/>
        <v>2.3548434193642583E-3</v>
      </c>
      <c r="G94" s="145">
        <f t="shared" si="36"/>
        <v>1386.4774665281136</v>
      </c>
      <c r="H94" s="141">
        <f t="shared" si="45"/>
        <v>1446.9690340184807</v>
      </c>
      <c r="I94" s="142">
        <f t="shared" si="6"/>
        <v>24.960491950750033</v>
      </c>
      <c r="J94" s="142">
        <f t="shared" si="7"/>
        <v>0.14912787538003333</v>
      </c>
      <c r="K94" s="142">
        <f t="shared" si="8"/>
        <v>0.13878856192373862</v>
      </c>
      <c r="L94" s="142">
        <f t="shared" si="9"/>
        <v>1.0339313456294713E-2</v>
      </c>
      <c r="M94" s="146">
        <f t="shared" si="37"/>
        <v>7.4119447756104909E-3</v>
      </c>
      <c r="N94" s="146">
        <f t="shared" si="46"/>
        <v>1.2119693192611482E-5</v>
      </c>
      <c r="O94" s="146">
        <f t="shared" si="47"/>
        <v>9.6254425958277565E-5</v>
      </c>
      <c r="P94" s="146">
        <f t="shared" si="48"/>
        <v>1.889043062379081E-4</v>
      </c>
      <c r="Q94" s="146">
        <f t="shared" si="49"/>
        <v>2.7498067219350054E-4</v>
      </c>
      <c r="R94" s="146">
        <f t="shared" si="50"/>
        <v>3.5254391335731846E-4</v>
      </c>
      <c r="S94" s="146">
        <f t="shared" si="51"/>
        <v>4.2074494061500301E-4</v>
      </c>
      <c r="T94" s="146">
        <f t="shared" ref="T94:T111" si="52">$L94*($D$92/$D94-$D$91/$D94)</f>
        <v>4.7963112813269586E-4</v>
      </c>
      <c r="U94" s="146">
        <f>$L94-SUM(M94:T94)</f>
        <v>1.102189600996905E-3</v>
      </c>
      <c r="V94" s="146">
        <v>0</v>
      </c>
      <c r="W94" s="146">
        <v>0</v>
      </c>
      <c r="X94" s="146">
        <v>0</v>
      </c>
      <c r="Y94" s="146">
        <v>0</v>
      </c>
      <c r="Z94" s="146">
        <v>0</v>
      </c>
      <c r="AA94" s="146">
        <v>0</v>
      </c>
      <c r="AB94" s="146">
        <v>0</v>
      </c>
      <c r="AC94" s="146">
        <v>0</v>
      </c>
      <c r="AD94" s="146">
        <v>0</v>
      </c>
      <c r="AE94" s="146">
        <v>0</v>
      </c>
      <c r="AF94" s="146">
        <v>0</v>
      </c>
      <c r="AG94" s="146">
        <v>0</v>
      </c>
      <c r="AH94" s="146">
        <v>0</v>
      </c>
      <c r="AI94" s="146">
        <v>0</v>
      </c>
      <c r="AJ94" s="146">
        <v>0</v>
      </c>
      <c r="AK94" s="146">
        <v>0</v>
      </c>
      <c r="AL94" s="146">
        <v>0</v>
      </c>
      <c r="AM94" s="161">
        <f t="shared" si="38"/>
        <v>6.5485051584748466E-3</v>
      </c>
      <c r="AN94" s="26">
        <f t="shared" si="39"/>
        <v>5.8936546426273613E-2</v>
      </c>
      <c r="AO94" s="118">
        <v>0</v>
      </c>
      <c r="AP94" s="118">
        <f t="shared" si="10"/>
        <v>2.3171490721061593E-3</v>
      </c>
      <c r="AQ94" s="147">
        <f t="shared" si="40"/>
        <v>1113.4774665281136</v>
      </c>
      <c r="AR94" s="148">
        <f t="shared" si="11"/>
        <v>0.26767811619439297</v>
      </c>
      <c r="AS94" s="149">
        <f t="shared" si="12"/>
        <v>26.579649973408337</v>
      </c>
      <c r="AT94" s="150">
        <f t="shared" si="13"/>
        <v>2.5829702233146077</v>
      </c>
      <c r="AU94" s="151">
        <f t="shared" si="14"/>
        <v>2.4440843982471892E-5</v>
      </c>
      <c r="AV94" s="151">
        <f t="shared" si="15"/>
        <v>5.0084583906027699E-5</v>
      </c>
      <c r="AW94" s="152">
        <f t="shared" si="16"/>
        <v>1580.1495252705283</v>
      </c>
      <c r="AX94" s="153">
        <f t="shared" si="17"/>
        <v>4.050249610969122E-2</v>
      </c>
      <c r="AY94" s="154">
        <f t="shared" si="18"/>
        <v>2.0690721997940814E-3</v>
      </c>
      <c r="AZ94" s="155">
        <f t="shared" si="19"/>
        <v>0.7162439522207158</v>
      </c>
      <c r="BA94" s="154">
        <f t="shared" si="20"/>
        <v>8.5951703271596125E-2</v>
      </c>
      <c r="BB94" s="154">
        <f t="shared" si="41"/>
        <v>1.2476564195625806</v>
      </c>
      <c r="BC94" s="154">
        <f t="shared" si="42"/>
        <v>0.84798844339270063</v>
      </c>
      <c r="BI94" s="154">
        <f t="shared" si="21"/>
        <v>29.077341757971659</v>
      </c>
      <c r="BJ94" s="154">
        <f t="shared" si="22"/>
        <v>21.834296325209923</v>
      </c>
      <c r="BK94" s="157">
        <f t="shared" si="23"/>
        <v>48.972848275221509</v>
      </c>
      <c r="BL94" s="158">
        <f t="shared" si="24"/>
        <v>47.837011939974374</v>
      </c>
      <c r="BM94" s="162">
        <f t="shared" si="43"/>
        <v>51.884983807777232</v>
      </c>
      <c r="BN94" s="159">
        <f>SUM(V85:V111)*1000</f>
        <v>5.2986265726334842</v>
      </c>
      <c r="BO94" s="157">
        <f t="shared" si="25"/>
        <v>5.0176211798758725</v>
      </c>
      <c r="BP94" s="143">
        <f t="shared" si="26"/>
        <v>1110.9686559381757</v>
      </c>
      <c r="BQ94" s="157">
        <f t="shared" si="27"/>
        <v>48.843854394309531</v>
      </c>
      <c r="BR94" s="158">
        <f t="shared" si="28"/>
        <v>47.488361744188701</v>
      </c>
      <c r="BS94" s="96">
        <f t="shared" si="29"/>
        <v>51.884983807777232</v>
      </c>
      <c r="BT94" s="96">
        <f t="shared" si="30"/>
        <v>5.2986265726334842</v>
      </c>
      <c r="BU94" s="160">
        <f t="shared" si="31"/>
        <v>4.9571401339612899</v>
      </c>
      <c r="BW94" s="108"/>
      <c r="BX94" s="108"/>
      <c r="BY94" s="1"/>
    </row>
    <row r="95" spans="1:77" ht="12" customHeight="1" x14ac:dyDescent="0.2">
      <c r="A95" s="90">
        <f t="shared" si="44"/>
        <v>10</v>
      </c>
      <c r="B95" s="141">
        <f t="shared" si="32"/>
        <v>65.485051584748447</v>
      </c>
      <c r="C95" s="141">
        <f t="shared" si="33"/>
        <v>42.613161044670015</v>
      </c>
      <c r="D95" s="141">
        <f t="shared" si="34"/>
        <v>84.532251084303113</v>
      </c>
      <c r="E95" s="142">
        <f t="shared" si="5"/>
        <v>7.3257033101839841E-2</v>
      </c>
      <c r="F95" s="144">
        <f t="shared" si="35"/>
        <v>2.3548434193642583E-3</v>
      </c>
      <c r="G95" s="145">
        <f t="shared" si="36"/>
        <v>1381.5203263941523</v>
      </c>
      <c r="H95" s="141">
        <f t="shared" si="45"/>
        <v>1446.9690340184807</v>
      </c>
      <c r="I95" s="142">
        <f t="shared" si="6"/>
        <v>22.195562804492329</v>
      </c>
      <c r="J95" s="142">
        <f t="shared" si="7"/>
        <v>0.13260864931785024</v>
      </c>
      <c r="K95" s="142">
        <f t="shared" si="8"/>
        <v>0.12289413310518221</v>
      </c>
      <c r="L95" s="142">
        <f t="shared" si="9"/>
        <v>9.7145162126680284E-3</v>
      </c>
      <c r="M95" s="146">
        <f t="shared" si="37"/>
        <v>6.5771649784152637E-3</v>
      </c>
      <c r="N95" s="146">
        <f t="shared" si="46"/>
        <v>1.0754697185263531E-5</v>
      </c>
      <c r="O95" s="146">
        <f t="shared" si="47"/>
        <v>8.5413647645276659E-5</v>
      </c>
      <c r="P95" s="146">
        <f t="shared" si="48"/>
        <v>1.6762871619715582E-4</v>
      </c>
      <c r="Q95" s="146">
        <f t="shared" si="49"/>
        <v>2.4401062091604822E-4</v>
      </c>
      <c r="R95" s="146">
        <f t="shared" si="50"/>
        <v>3.1283820245358516E-4</v>
      </c>
      <c r="S95" s="146">
        <f t="shared" si="51"/>
        <v>3.7335800144712591E-4</v>
      </c>
      <c r="T95" s="146">
        <f t="shared" si="52"/>
        <v>4.2561205648653107E-4</v>
      </c>
      <c r="U95" s="146">
        <f t="shared" ref="U95:U111" si="53">$L95*($D$93/$D95-$D$92/$D95)</f>
        <v>4.7017133477922737E-4</v>
      </c>
      <c r="V95" s="146">
        <f>$L95-SUM(M95:U95)</f>
        <v>1.0475639571425523E-3</v>
      </c>
      <c r="W95" s="146">
        <v>0</v>
      </c>
      <c r="X95" s="146">
        <v>0</v>
      </c>
      <c r="Y95" s="146">
        <v>0</v>
      </c>
      <c r="Z95" s="146">
        <v>0</v>
      </c>
      <c r="AA95" s="146">
        <v>0</v>
      </c>
      <c r="AB95" s="146">
        <v>0</v>
      </c>
      <c r="AC95" s="146">
        <v>0</v>
      </c>
      <c r="AD95" s="146">
        <v>0</v>
      </c>
      <c r="AE95" s="146">
        <v>0</v>
      </c>
      <c r="AF95" s="146">
        <v>0</v>
      </c>
      <c r="AG95" s="146">
        <v>0</v>
      </c>
      <c r="AH95" s="146">
        <v>0</v>
      </c>
      <c r="AI95" s="146">
        <v>0</v>
      </c>
      <c r="AJ95" s="146">
        <v>0</v>
      </c>
      <c r="AK95" s="146">
        <v>0</v>
      </c>
      <c r="AL95" s="146">
        <v>0</v>
      </c>
      <c r="AM95" s="161">
        <f t="shared" si="38"/>
        <v>6.5485051584748388E-3</v>
      </c>
      <c r="AN95" s="26">
        <f t="shared" si="39"/>
        <v>6.5485051584748447E-2</v>
      </c>
      <c r="AO95" s="118">
        <v>0</v>
      </c>
      <c r="AP95" s="118">
        <f t="shared" si="10"/>
        <v>2.3128898893574625E-3</v>
      </c>
      <c r="AQ95" s="147">
        <f t="shared" si="40"/>
        <v>1108.5203263941523</v>
      </c>
      <c r="AR95" s="148">
        <f t="shared" si="11"/>
        <v>0.26841843994739678</v>
      </c>
      <c r="AS95" s="149">
        <f t="shared" si="12"/>
        <v>26.506340754318554</v>
      </c>
      <c r="AT95" s="150">
        <f t="shared" si="13"/>
        <v>2.5758461441716247</v>
      </c>
      <c r="AU95" s="151">
        <f t="shared" si="14"/>
        <v>2.4440843982471892E-5</v>
      </c>
      <c r="AV95" s="151">
        <f t="shared" si="15"/>
        <v>4.9992522761444469E-5</v>
      </c>
      <c r="AW95" s="152">
        <f t="shared" si="16"/>
        <v>1583.0593679004594</v>
      </c>
      <c r="AX95" s="153">
        <f t="shared" si="17"/>
        <v>4.0428047929042817E-2</v>
      </c>
      <c r="AY95" s="154">
        <f t="shared" si="18"/>
        <v>2.0595728008289379E-3</v>
      </c>
      <c r="AZ95" s="155">
        <f t="shared" si="19"/>
        <v>0.71625073025622643</v>
      </c>
      <c r="BA95" s="154">
        <f t="shared" si="20"/>
        <v>8.5703504222228805E-2</v>
      </c>
      <c r="BB95" s="154">
        <f t="shared" si="41"/>
        <v>1.2045990710284651</v>
      </c>
      <c r="BC95" s="154">
        <f t="shared" si="42"/>
        <v>0.81708293422142431</v>
      </c>
      <c r="BI95" s="154">
        <f t="shared" si="21"/>
        <v>28.027654227395786</v>
      </c>
      <c r="BJ95" s="154">
        <f t="shared" si="22"/>
        <v>20.985307744342229</v>
      </c>
      <c r="BK95" s="157">
        <f t="shared" si="23"/>
        <v>46.823656814306844</v>
      </c>
      <c r="BL95" s="158">
        <f t="shared" si="24"/>
        <v>47.149939759386449</v>
      </c>
      <c r="BM95" s="162">
        <f t="shared" si="43"/>
        <v>51.884983807777232</v>
      </c>
      <c r="BN95" s="159">
        <f>SUM(W85:W111)*1000</f>
        <v>5.0152325556019735</v>
      </c>
      <c r="BO95" s="157">
        <f t="shared" si="25"/>
        <v>4.6943674591575553</v>
      </c>
      <c r="BP95" s="143">
        <f t="shared" si="26"/>
        <v>1106.1731426645736</v>
      </c>
      <c r="BQ95" s="157">
        <f t="shared" si="27"/>
        <v>46.707665768726891</v>
      </c>
      <c r="BR95" s="158">
        <f t="shared" si="28"/>
        <v>46.82718361385178</v>
      </c>
      <c r="BS95" s="96">
        <f t="shared" si="29"/>
        <v>51.884983807777232</v>
      </c>
      <c r="BT95" s="96">
        <f t="shared" si="30"/>
        <v>5.0152325556019735</v>
      </c>
      <c r="BU95" s="160">
        <f t="shared" si="31"/>
        <v>4.6388116796445704</v>
      </c>
      <c r="BW95" s="108"/>
      <c r="BX95" s="108"/>
      <c r="BY95" s="1"/>
    </row>
    <row r="96" spans="1:77" ht="12" customHeight="1" x14ac:dyDescent="0.2">
      <c r="A96" s="90">
        <f t="shared" si="44"/>
        <v>11</v>
      </c>
      <c r="B96" s="141">
        <f t="shared" si="32"/>
        <v>72.033556743223286</v>
      </c>
      <c r="C96" s="141">
        <f t="shared" si="33"/>
        <v>39.77246915631418</v>
      </c>
      <c r="D96" s="141">
        <f t="shared" si="34"/>
        <v>89.461499370349799</v>
      </c>
      <c r="E96" s="142">
        <f t="shared" si="5"/>
        <v>7.7359258537468056E-2</v>
      </c>
      <c r="F96" s="144">
        <f t="shared" si="35"/>
        <v>2.3548434193642583E-3</v>
      </c>
      <c r="G96" s="145">
        <f t="shared" si="36"/>
        <v>1376.8815147145078</v>
      </c>
      <c r="H96" s="141">
        <f t="shared" si="45"/>
        <v>1446.9690340184807</v>
      </c>
      <c r="I96" s="142">
        <f t="shared" si="6"/>
        <v>19.555859224982445</v>
      </c>
      <c r="J96" s="142">
        <f t="shared" si="7"/>
        <v>0.11683759050930985</v>
      </c>
      <c r="K96" s="142">
        <f t="shared" si="8"/>
        <v>0.10779912113820532</v>
      </c>
      <c r="L96" s="142">
        <f t="shared" si="9"/>
        <v>9.0384693711045294E-3</v>
      </c>
      <c r="M96" s="146">
        <f t="shared" si="37"/>
        <v>5.7822745748468225E-3</v>
      </c>
      <c r="N96" s="146">
        <f t="shared" si="46"/>
        <v>9.4549265981022691E-6</v>
      </c>
      <c r="O96" s="146">
        <f t="shared" si="47"/>
        <v>7.5090888664801212E-5</v>
      </c>
      <c r="P96" s="146">
        <f t="shared" si="48"/>
        <v>1.4736976598001849E-4</v>
      </c>
      <c r="Q96" s="146">
        <f t="shared" si="49"/>
        <v>2.1452045280083732E-4</v>
      </c>
      <c r="R96" s="146">
        <f t="shared" si="50"/>
        <v>2.7502980235779217E-4</v>
      </c>
      <c r="S96" s="146">
        <f t="shared" si="51"/>
        <v>3.2823541543631926E-4</v>
      </c>
      <c r="T96" s="146">
        <f t="shared" si="52"/>
        <v>3.7417425000692305E-4</v>
      </c>
      <c r="U96" s="146">
        <f t="shared" si="53"/>
        <v>4.1334826841621554E-4</v>
      </c>
      <c r="V96" s="146">
        <f t="shared" ref="V96:V111" si="54">$L96*($D$94/$D96-$D$93/$D96)</f>
        <v>4.4650202721419801E-4</v>
      </c>
      <c r="W96" s="146">
        <f>$L96-SUM(M96:V96)</f>
        <v>9.7246899878250005E-4</v>
      </c>
      <c r="X96" s="146">
        <v>0</v>
      </c>
      <c r="Y96" s="146">
        <v>0</v>
      </c>
      <c r="Z96" s="146">
        <v>0</v>
      </c>
      <c r="AA96" s="146">
        <v>0</v>
      </c>
      <c r="AB96" s="146">
        <v>0</v>
      </c>
      <c r="AC96" s="146">
        <v>0</v>
      </c>
      <c r="AD96" s="146">
        <v>0</v>
      </c>
      <c r="AE96" s="146">
        <v>0</v>
      </c>
      <c r="AF96" s="146">
        <v>0</v>
      </c>
      <c r="AG96" s="146">
        <v>0</v>
      </c>
      <c r="AH96" s="146">
        <v>0</v>
      </c>
      <c r="AI96" s="146">
        <v>0</v>
      </c>
      <c r="AJ96" s="146">
        <v>0</v>
      </c>
      <c r="AK96" s="146">
        <v>0</v>
      </c>
      <c r="AL96" s="146">
        <v>0</v>
      </c>
      <c r="AM96" s="161">
        <f t="shared" si="38"/>
        <v>6.5485051584748388E-3</v>
      </c>
      <c r="AN96" s="26">
        <f t="shared" si="39"/>
        <v>7.2033556743223287E-2</v>
      </c>
      <c r="AO96" s="118">
        <v>0</v>
      </c>
      <c r="AP96" s="118">
        <f t="shared" si="10"/>
        <v>2.3088860623845433E-3</v>
      </c>
      <c r="AQ96" s="147">
        <f t="shared" si="40"/>
        <v>1103.8815147145078</v>
      </c>
      <c r="AR96" s="148">
        <f t="shared" si="11"/>
        <v>0.26911609403501235</v>
      </c>
      <c r="AS96" s="149">
        <f t="shared" si="12"/>
        <v>26.437625960276634</v>
      </c>
      <c r="AT96" s="150">
        <f t="shared" si="13"/>
        <v>2.5691685443127459</v>
      </c>
      <c r="AU96" s="151">
        <f t="shared" si="14"/>
        <v>2.4440843982471892E-5</v>
      </c>
      <c r="AV96" s="151">
        <f t="shared" si="15"/>
        <v>4.9905981066572786E-5</v>
      </c>
      <c r="AW96" s="152">
        <f t="shared" si="16"/>
        <v>1585.8045426841761</v>
      </c>
      <c r="AX96" s="153">
        <f t="shared" si="17"/>
        <v>4.0358063227433974E-2</v>
      </c>
      <c r="AY96" s="154">
        <f t="shared" si="18"/>
        <v>2.0506775143275071E-3</v>
      </c>
      <c r="AZ96" s="155">
        <f t="shared" si="19"/>
        <v>0.71625033814122774</v>
      </c>
      <c r="BA96" s="154">
        <f t="shared" si="20"/>
        <v>8.5471243560240689E-2</v>
      </c>
      <c r="BB96" s="154">
        <f t="shared" si="41"/>
        <v>1.1669304593415535</v>
      </c>
      <c r="BC96" s="154">
        <f t="shared" si="42"/>
        <v>0.79024434247243658</v>
      </c>
      <c r="BI96" s="154">
        <f t="shared" si="21"/>
        <v>27.116110779811688</v>
      </c>
      <c r="BJ96" s="154">
        <f t="shared" si="22"/>
        <v>20.247780962081173</v>
      </c>
      <c r="BK96" s="157">
        <f t="shared" si="23"/>
        <v>44.956863360281062</v>
      </c>
      <c r="BL96" s="158">
        <f t="shared" si="24"/>
        <v>46.51365264388695</v>
      </c>
      <c r="BM96" s="162">
        <f t="shared" si="43"/>
        <v>51.884983807777232</v>
      </c>
      <c r="BN96" s="159">
        <f>SUM(X85:X111)*1000</f>
        <v>4.6963234279413015</v>
      </c>
      <c r="BO96" s="157">
        <f t="shared" si="25"/>
        <v>4.4177996554195547</v>
      </c>
      <c r="BP96" s="143">
        <f t="shared" si="26"/>
        <v>1101.6726148867981</v>
      </c>
      <c r="BQ96" s="157">
        <f t="shared" si="27"/>
        <v>44.851542235085873</v>
      </c>
      <c r="BR96" s="158">
        <f t="shared" si="28"/>
        <v>46.212918290901207</v>
      </c>
      <c r="BS96" s="96">
        <f t="shared" si="29"/>
        <v>51.884983807777232</v>
      </c>
      <c r="BT96" s="96">
        <f t="shared" si="30"/>
        <v>4.6963234279413015</v>
      </c>
      <c r="BU96" s="160">
        <f t="shared" si="31"/>
        <v>4.3663834205747225</v>
      </c>
      <c r="BW96" s="108"/>
      <c r="BX96" s="108"/>
      <c r="BY96" s="1"/>
    </row>
    <row r="97" spans="1:77" ht="12" customHeight="1" x14ac:dyDescent="0.2">
      <c r="A97" s="90">
        <f t="shared" si="44"/>
        <v>12</v>
      </c>
      <c r="B97" s="141">
        <f t="shared" si="32"/>
        <v>78.582061901698125</v>
      </c>
      <c r="C97" s="141">
        <f t="shared" si="33"/>
        <v>37.23396873474961</v>
      </c>
      <c r="D97" s="141">
        <f t="shared" si="34"/>
        <v>94.587441584090186</v>
      </c>
      <c r="E97" s="142">
        <f t="shared" si="5"/>
        <v>8.1605918158655921E-2</v>
      </c>
      <c r="F97" s="144">
        <f t="shared" si="35"/>
        <v>2.3548434193642583E-3</v>
      </c>
      <c r="G97" s="145">
        <f t="shared" si="36"/>
        <v>1372.5151312939331</v>
      </c>
      <c r="H97" s="141">
        <f t="shared" si="45"/>
        <v>1446.9690340184807</v>
      </c>
      <c r="I97" s="142">
        <f t="shared" si="6"/>
        <v>17.139423862542607</v>
      </c>
      <c r="J97" s="142">
        <f t="shared" si="7"/>
        <v>0.10240046033155285</v>
      </c>
      <c r="K97" s="142">
        <f t="shared" si="8"/>
        <v>9.404397674632746E-2</v>
      </c>
      <c r="L97" s="142">
        <f t="shared" si="9"/>
        <v>8.3564835852253938E-3</v>
      </c>
      <c r="M97" s="146">
        <f t="shared" si="37"/>
        <v>5.0562679208520618E-3</v>
      </c>
      <c r="N97" s="146">
        <f t="shared" si="46"/>
        <v>8.2677917544682629E-6</v>
      </c>
      <c r="O97" s="146">
        <f t="shared" si="47"/>
        <v>6.5662681110948155E-5</v>
      </c>
      <c r="P97" s="146">
        <f t="shared" si="48"/>
        <v>1.2886641936196599E-4</v>
      </c>
      <c r="Q97" s="146">
        <f t="shared" si="49"/>
        <v>1.8758584875611299E-4</v>
      </c>
      <c r="R97" s="146">
        <f t="shared" si="50"/>
        <v>2.4049780911291737E-4</v>
      </c>
      <c r="S97" s="146">
        <f t="shared" si="51"/>
        <v>2.8702307025988587E-4</v>
      </c>
      <c r="T97" s="146">
        <f t="shared" si="52"/>
        <v>3.2719394982535995E-4</v>
      </c>
      <c r="U97" s="146">
        <f t="shared" si="53"/>
        <v>3.6144938513024916E-4</v>
      </c>
      <c r="V97" s="146">
        <f t="shared" si="54"/>
        <v>3.9044044823111356E-4</v>
      </c>
      <c r="W97" s="146">
        <f t="shared" ref="W97:W111" si="55">$L97*($D$95/$D97-$D$94/$D97)</f>
        <v>4.1488586621036351E-4</v>
      </c>
      <c r="X97" s="146">
        <f>$L97-SUM(M97:W97)</f>
        <v>8.8834239461994726E-4</v>
      </c>
      <c r="Y97" s="146">
        <v>0</v>
      </c>
      <c r="Z97" s="146">
        <v>0</v>
      </c>
      <c r="AA97" s="146">
        <v>0</v>
      </c>
      <c r="AB97" s="146">
        <v>0</v>
      </c>
      <c r="AC97" s="146">
        <v>0</v>
      </c>
      <c r="AD97" s="146">
        <v>0</v>
      </c>
      <c r="AE97" s="146">
        <v>0</v>
      </c>
      <c r="AF97" s="146">
        <v>0</v>
      </c>
      <c r="AG97" s="146">
        <v>0</v>
      </c>
      <c r="AH97" s="146">
        <v>0</v>
      </c>
      <c r="AI97" s="146">
        <v>0</v>
      </c>
      <c r="AJ97" s="146">
        <v>0</v>
      </c>
      <c r="AK97" s="146">
        <v>0</v>
      </c>
      <c r="AL97" s="146">
        <v>0</v>
      </c>
      <c r="AM97" s="161">
        <f t="shared" si="38"/>
        <v>6.5485051584748388E-3</v>
      </c>
      <c r="AN97" s="26">
        <f t="shared" si="39"/>
        <v>7.8582061901698128E-2</v>
      </c>
      <c r="AO97" s="118">
        <v>0</v>
      </c>
      <c r="AP97" s="118">
        <f t="shared" si="10"/>
        <v>2.3051013376890295E-3</v>
      </c>
      <c r="AQ97" s="147">
        <f t="shared" si="40"/>
        <v>1099.5151312939331</v>
      </c>
      <c r="AR97" s="148">
        <f t="shared" si="11"/>
        <v>0.26977712667630893</v>
      </c>
      <c r="AS97" s="149">
        <f t="shared" si="12"/>
        <v>26.372846066097168</v>
      </c>
      <c r="AT97" s="150">
        <f t="shared" si="13"/>
        <v>2.5628733320769777</v>
      </c>
      <c r="AU97" s="151">
        <f t="shared" si="14"/>
        <v>2.4440843982471892E-5</v>
      </c>
      <c r="AV97" s="151">
        <f t="shared" si="15"/>
        <v>4.9824175211327837E-5</v>
      </c>
      <c r="AW97" s="152">
        <f t="shared" si="16"/>
        <v>1588.4082605844799</v>
      </c>
      <c r="AX97" s="153">
        <f t="shared" si="17"/>
        <v>4.0291908313578144E-2</v>
      </c>
      <c r="AY97" s="154">
        <f t="shared" si="18"/>
        <v>2.0422995235211856E-3</v>
      </c>
      <c r="AZ97" s="155">
        <f t="shared" si="19"/>
        <v>0.71624408608277745</v>
      </c>
      <c r="BA97" s="154">
        <f t="shared" si="20"/>
        <v>8.5252623108755934E-2</v>
      </c>
      <c r="BB97" s="154">
        <f t="shared" si="41"/>
        <v>1.1335711950858889</v>
      </c>
      <c r="BC97" s="154">
        <f t="shared" si="42"/>
        <v>0.7666192882735785</v>
      </c>
      <c r="BI97" s="154">
        <f t="shared" si="21"/>
        <v>26.313718609701525</v>
      </c>
      <c r="BJ97" s="154">
        <f t="shared" si="22"/>
        <v>19.598371623378529</v>
      </c>
      <c r="BK97" s="157">
        <f t="shared" si="23"/>
        <v>43.313443481608047</v>
      </c>
      <c r="BL97" s="158">
        <f t="shared" si="24"/>
        <v>45.920580239149864</v>
      </c>
      <c r="BM97" s="162">
        <f t="shared" si="43"/>
        <v>51.884983807777232</v>
      </c>
      <c r="BN97" s="159">
        <f>SUM(Y85:Y111)*1000</f>
        <v>4.3677402881099479</v>
      </c>
      <c r="BO97" s="157">
        <f t="shared" si="25"/>
        <v>4.1762131977554233</v>
      </c>
      <c r="BP97" s="143">
        <f t="shared" si="26"/>
        <v>1097.4270246950555</v>
      </c>
      <c r="BQ97" s="157">
        <f t="shared" si="27"/>
        <v>43.217075072570452</v>
      </c>
      <c r="BR97" s="158">
        <f t="shared" si="28"/>
        <v>45.638952504480159</v>
      </c>
      <c r="BS97" s="96">
        <f t="shared" si="29"/>
        <v>51.884983807777232</v>
      </c>
      <c r="BT97" s="96">
        <f t="shared" si="30"/>
        <v>4.3677402881099479</v>
      </c>
      <c r="BU97" s="160">
        <f t="shared" si="31"/>
        <v>4.1283499388176024</v>
      </c>
      <c r="BW97" s="108"/>
      <c r="BX97" s="108"/>
      <c r="BY97" s="1"/>
    </row>
    <row r="98" spans="1:77" ht="12" customHeight="1" x14ac:dyDescent="0.2">
      <c r="A98" s="90">
        <f t="shared" si="44"/>
        <v>13</v>
      </c>
      <c r="B98" s="141">
        <f t="shared" si="32"/>
        <v>85.130567060172964</v>
      </c>
      <c r="C98" s="141">
        <f t="shared" si="33"/>
        <v>34.960402340952278</v>
      </c>
      <c r="D98" s="141">
        <f t="shared" si="34"/>
        <v>99.879798662579361</v>
      </c>
      <c r="E98" s="142">
        <f t="shared" si="5"/>
        <v>8.596993920492968E-2</v>
      </c>
      <c r="F98" s="144">
        <f t="shared" si="35"/>
        <v>2.3548434193642583E-3</v>
      </c>
      <c r="G98" s="145">
        <f t="shared" si="36"/>
        <v>1368.3867813551155</v>
      </c>
      <c r="H98" s="141">
        <f t="shared" si="45"/>
        <v>1446.9690340184807</v>
      </c>
      <c r="I98" s="142">
        <f t="shared" si="6"/>
        <v>14.984134887381984</v>
      </c>
      <c r="J98" s="142">
        <f t="shared" si="7"/>
        <v>8.9523564061643607E-2</v>
      </c>
      <c r="K98" s="142">
        <f t="shared" si="8"/>
        <v>8.1827228701855478E-2</v>
      </c>
      <c r="L98" s="142">
        <f t="shared" si="9"/>
        <v>7.6963353597881284E-3</v>
      </c>
      <c r="M98" s="146">
        <f t="shared" si="37"/>
        <v>4.4100784762607379E-3</v>
      </c>
      <c r="N98" s="146">
        <f t="shared" si="46"/>
        <v>7.2111705774567862E-6</v>
      </c>
      <c r="O98" s="146">
        <f t="shared" si="47"/>
        <v>5.7271011187272897E-5</v>
      </c>
      <c r="P98" s="146">
        <f t="shared" si="48"/>
        <v>1.1239733163610205E-4</v>
      </c>
      <c r="Q98" s="146">
        <f t="shared" si="49"/>
        <v>1.6361243648477917E-4</v>
      </c>
      <c r="R98" s="146">
        <f t="shared" si="50"/>
        <v>2.0976226500632304E-4</v>
      </c>
      <c r="S98" s="146">
        <f t="shared" si="51"/>
        <v>2.5034161246148713E-4</v>
      </c>
      <c r="T98" s="146">
        <f t="shared" si="52"/>
        <v>2.8537866629591057E-4</v>
      </c>
      <c r="U98" s="146">
        <f t="shared" si="53"/>
        <v>3.152562677794119E-4</v>
      </c>
      <c r="V98" s="146">
        <f t="shared" si="54"/>
        <v>3.4054228216519523E-4</v>
      </c>
      <c r="W98" s="146">
        <f t="shared" si="55"/>
        <v>3.6186358344135938E-4</v>
      </c>
      <c r="X98" s="146">
        <f t="shared" ref="X98:X111" si="56">$L98*($D$96/$D98-$D$95/$D98)</f>
        <v>3.7982803719136411E-4</v>
      </c>
      <c r="Y98" s="146">
        <f>$L98-SUM(M98:X98)</f>
        <v>8.0279221930072784E-4</v>
      </c>
      <c r="Z98" s="146">
        <v>0</v>
      </c>
      <c r="AA98" s="146">
        <v>0</v>
      </c>
      <c r="AB98" s="146">
        <v>0</v>
      </c>
      <c r="AC98" s="146">
        <v>0</v>
      </c>
      <c r="AD98" s="146">
        <v>0</v>
      </c>
      <c r="AE98" s="146">
        <v>0</v>
      </c>
      <c r="AF98" s="146">
        <v>0</v>
      </c>
      <c r="AG98" s="146">
        <v>0</v>
      </c>
      <c r="AH98" s="146">
        <v>0</v>
      </c>
      <c r="AI98" s="146">
        <v>0</v>
      </c>
      <c r="AJ98" s="146">
        <v>0</v>
      </c>
      <c r="AK98" s="146">
        <v>0</v>
      </c>
      <c r="AL98" s="146">
        <v>0</v>
      </c>
      <c r="AM98" s="161">
        <f t="shared" si="38"/>
        <v>6.5485051584748388E-3</v>
      </c>
      <c r="AN98" s="26">
        <f t="shared" si="39"/>
        <v>8.5130567060172968E-2</v>
      </c>
      <c r="AO98" s="118">
        <v>0</v>
      </c>
      <c r="AP98" s="118">
        <f t="shared" si="10"/>
        <v>2.3015086362553729E-3</v>
      </c>
      <c r="AQ98" s="147">
        <f t="shared" si="40"/>
        <v>1095.3867813551155</v>
      </c>
      <c r="AR98" s="148">
        <f t="shared" si="11"/>
        <v>0.27040604377250144</v>
      </c>
      <c r="AS98" s="149">
        <f t="shared" si="12"/>
        <v>26.311507445351783</v>
      </c>
      <c r="AT98" s="150">
        <f t="shared" si="13"/>
        <v>2.5569125375938664</v>
      </c>
      <c r="AU98" s="151">
        <f t="shared" si="14"/>
        <v>2.4440843982471892E-5</v>
      </c>
      <c r="AV98" s="151">
        <f t="shared" si="15"/>
        <v>4.9746519889721918E-5</v>
      </c>
      <c r="AW98" s="152">
        <f t="shared" si="16"/>
        <v>1590.8877979388642</v>
      </c>
      <c r="AX98" s="153">
        <f t="shared" si="17"/>
        <v>4.0229109861121354E-2</v>
      </c>
      <c r="AY98" s="154">
        <f t="shared" si="18"/>
        <v>2.0343737939851041E-3</v>
      </c>
      <c r="AZ98" s="155">
        <f t="shared" si="19"/>
        <v>0.71623298336497832</v>
      </c>
      <c r="BA98" s="154">
        <f t="shared" si="20"/>
        <v>8.5045920755669274E-2</v>
      </c>
      <c r="BB98" s="154">
        <f t="shared" si="41"/>
        <v>1.1037264353399141</v>
      </c>
      <c r="BC98" s="154">
        <f t="shared" si="42"/>
        <v>0.74558931838821596</v>
      </c>
      <c r="BI98" s="154">
        <f t="shared" si="21"/>
        <v>25.59946458453981</v>
      </c>
      <c r="BJ98" s="154">
        <f t="shared" si="22"/>
        <v>19.020169430939191</v>
      </c>
      <c r="BK98" s="157">
        <f t="shared" si="23"/>
        <v>41.85067907338933</v>
      </c>
      <c r="BL98" s="158">
        <f t="shared" si="24"/>
        <v>45.36502080495007</v>
      </c>
      <c r="BM98" s="162">
        <f t="shared" si="43"/>
        <v>51.884983807777232</v>
      </c>
      <c r="BN98" s="159">
        <f>SUM(Z85:Z111)*1000</f>
        <v>4.0456520389683357</v>
      </c>
      <c r="BO98" s="157">
        <f t="shared" si="25"/>
        <v>3.9614296218588674</v>
      </c>
      <c r="BP98" s="143">
        <f t="shared" si="26"/>
        <v>1093.4060665441862</v>
      </c>
      <c r="BQ98" s="157">
        <f t="shared" si="27"/>
        <v>41.761963806127433</v>
      </c>
      <c r="BR98" s="158">
        <f t="shared" si="28"/>
        <v>45.100251253277982</v>
      </c>
      <c r="BS98" s="96">
        <f t="shared" si="29"/>
        <v>51.884983807777232</v>
      </c>
      <c r="BT98" s="96">
        <f t="shared" si="30"/>
        <v>4.0456520389683357</v>
      </c>
      <c r="BU98" s="160">
        <f t="shared" si="31"/>
        <v>3.9166700768188334</v>
      </c>
      <c r="BW98" s="108"/>
      <c r="BX98" s="108"/>
      <c r="BY98" s="1"/>
    </row>
    <row r="99" spans="1:77" ht="12" customHeight="1" x14ac:dyDescent="0.2">
      <c r="A99" s="90">
        <f t="shared" si="44"/>
        <v>14</v>
      </c>
      <c r="B99" s="141">
        <f t="shared" si="32"/>
        <v>91.679072218647804</v>
      </c>
      <c r="C99" s="141">
        <f t="shared" si="33"/>
        <v>32.918499418442501</v>
      </c>
      <c r="D99" s="141">
        <f t="shared" si="34"/>
        <v>105.31348487231944</v>
      </c>
      <c r="E99" s="142">
        <f t="shared" si="5"/>
        <v>9.0428924673903732E-2</v>
      </c>
      <c r="F99" s="144">
        <f t="shared" si="35"/>
        <v>2.3548434193642583E-3</v>
      </c>
      <c r="G99" s="145">
        <f t="shared" si="36"/>
        <v>1364.4701112782966</v>
      </c>
      <c r="H99" s="141">
        <f t="shared" si="45"/>
        <v>1446.9690340184807</v>
      </c>
      <c r="I99" s="142">
        <f t="shared" si="6"/>
        <v>13.092727418708771</v>
      </c>
      <c r="J99" s="142">
        <f t="shared" si="7"/>
        <v>7.8223242824477943E-2</v>
      </c>
      <c r="K99" s="142">
        <f t="shared" si="8"/>
        <v>7.1149599091354751E-2</v>
      </c>
      <c r="L99" s="142">
        <f t="shared" si="9"/>
        <v>7.0736437331231916E-3</v>
      </c>
      <c r="M99" s="146">
        <f t="shared" si="37"/>
        <v>3.8441399581949061E-3</v>
      </c>
      <c r="N99" s="146">
        <f t="shared" si="46"/>
        <v>6.2857722626441664E-6</v>
      </c>
      <c r="O99" s="146">
        <f t="shared" si="47"/>
        <v>4.9921511314667512E-5</v>
      </c>
      <c r="P99" s="146">
        <f t="shared" si="48"/>
        <v>9.7973556720735164E-5</v>
      </c>
      <c r="Q99" s="146">
        <f t="shared" si="49"/>
        <v>1.426163067470047E-4</v>
      </c>
      <c r="R99" s="146">
        <f t="shared" si="50"/>
        <v>1.8284379948630309E-4</v>
      </c>
      <c r="S99" s="146">
        <f t="shared" si="51"/>
        <v>2.1821566233853296E-4</v>
      </c>
      <c r="T99" s="146">
        <f t="shared" si="52"/>
        <v>2.4875646549823874E-4</v>
      </c>
      <c r="U99" s="146">
        <f t="shared" si="53"/>
        <v>2.7479992080997595E-4</v>
      </c>
      <c r="V99" s="146">
        <f t="shared" si="54"/>
        <v>2.9684102026140784E-4</v>
      </c>
      <c r="W99" s="146">
        <f t="shared" si="55"/>
        <v>3.1542619207583532E-4</v>
      </c>
      <c r="X99" s="146">
        <f t="shared" si="56"/>
        <v>3.3108529539095178E-4</v>
      </c>
      <c r="Y99" s="146">
        <f t="shared" ref="Y99:Y111" si="57">$L99*($D$97/$D99-$D$96/$D99)</f>
        <v>3.4429673522375824E-4</v>
      </c>
      <c r="Z99" s="146">
        <f>$L99-SUM(M99:Y99)</f>
        <v>7.2044153679823048E-4</v>
      </c>
      <c r="AA99" s="146">
        <v>0</v>
      </c>
      <c r="AB99" s="146">
        <v>0</v>
      </c>
      <c r="AC99" s="146">
        <v>0</v>
      </c>
      <c r="AD99" s="146">
        <v>0</v>
      </c>
      <c r="AE99" s="146">
        <v>0</v>
      </c>
      <c r="AF99" s="146">
        <v>0</v>
      </c>
      <c r="AG99" s="146">
        <v>0</v>
      </c>
      <c r="AH99" s="146">
        <v>0</v>
      </c>
      <c r="AI99" s="146">
        <v>0</v>
      </c>
      <c r="AJ99" s="146">
        <v>0</v>
      </c>
      <c r="AK99" s="146">
        <v>0</v>
      </c>
      <c r="AL99" s="146">
        <v>0</v>
      </c>
      <c r="AM99" s="161">
        <f t="shared" si="38"/>
        <v>6.5485051584748388E-3</v>
      </c>
      <c r="AN99" s="26">
        <f t="shared" si="39"/>
        <v>9.1679072218647809E-2</v>
      </c>
      <c r="AO99" s="118">
        <v>0</v>
      </c>
      <c r="AP99" s="118">
        <f t="shared" si="10"/>
        <v>2.2980872999565664E-3</v>
      </c>
      <c r="AQ99" s="147">
        <f t="shared" si="40"/>
        <v>1091.4701112782966</v>
      </c>
      <c r="AR99" s="148">
        <f t="shared" si="11"/>
        <v>0.27100627099929325</v>
      </c>
      <c r="AS99" s="149">
        <f t="shared" si="12"/>
        <v>26.253232472273108</v>
      </c>
      <c r="AT99" s="150">
        <f t="shared" si="13"/>
        <v>2.5512494637619212</v>
      </c>
      <c r="AU99" s="151">
        <f t="shared" si="14"/>
        <v>2.4440843982471892E-5</v>
      </c>
      <c r="AV99" s="151">
        <f t="shared" si="15"/>
        <v>4.96725685816291E-5</v>
      </c>
      <c r="AW99" s="152">
        <f t="shared" si="16"/>
        <v>1593.2562728747464</v>
      </c>
      <c r="AX99" s="153">
        <f t="shared" si="17"/>
        <v>4.0169306777323041E-2</v>
      </c>
      <c r="AY99" s="154">
        <f t="shared" si="18"/>
        <v>2.0268505182593128E-3</v>
      </c>
      <c r="AZ99" s="155">
        <f t="shared" si="19"/>
        <v>0.71621783248536608</v>
      </c>
      <c r="BA99" s="154">
        <f t="shared" si="20"/>
        <v>8.4849817001593025E-2</v>
      </c>
      <c r="BB99" s="154">
        <f t="shared" si="41"/>
        <v>1.0767954887369751</v>
      </c>
      <c r="BC99" s="154">
        <f t="shared" si="42"/>
        <v>0.72669318289876716</v>
      </c>
      <c r="BI99" s="154">
        <f t="shared" si="21"/>
        <v>24.95767564476855</v>
      </c>
      <c r="BJ99" s="154">
        <f t="shared" si="22"/>
        <v>18.50056782082682</v>
      </c>
      <c r="BK99" s="157">
        <f t="shared" si="23"/>
        <v>40.536749837004635</v>
      </c>
      <c r="BL99" s="158">
        <f t="shared" si="24"/>
        <v>44.842575164411876</v>
      </c>
      <c r="BM99" s="162">
        <f t="shared" si="43"/>
        <v>51.884983807777232</v>
      </c>
      <c r="BN99" s="159">
        <f>SUM(AA85:AA111)*1000</f>
        <v>3.7394440725770632</v>
      </c>
      <c r="BO99" s="157">
        <f t="shared" si="25"/>
        <v>3.767674272032933</v>
      </c>
      <c r="BP99" s="143">
        <f t="shared" si="26"/>
        <v>1089.5862741422802</v>
      </c>
      <c r="BQ99" s="157">
        <f t="shared" si="27"/>
        <v>40.454678700637416</v>
      </c>
      <c r="BR99" s="158">
        <f t="shared" si="28"/>
        <v>44.592886704362854</v>
      </c>
      <c r="BS99" s="96">
        <f t="shared" si="29"/>
        <v>51.884983807777232</v>
      </c>
      <c r="BT99" s="96">
        <f t="shared" si="30"/>
        <v>3.7394440725770632</v>
      </c>
      <c r="BU99" s="160">
        <f t="shared" si="31"/>
        <v>3.7256656543982691</v>
      </c>
      <c r="BW99" s="108"/>
      <c r="BX99" s="108"/>
      <c r="BY99" s="1"/>
    </row>
    <row r="100" spans="1:77" ht="12" customHeight="1" x14ac:dyDescent="0.2">
      <c r="A100" s="90">
        <f t="shared" si="44"/>
        <v>15</v>
      </c>
      <c r="B100" s="141">
        <f t="shared" si="32"/>
        <v>98.227577377122643</v>
      </c>
      <c r="C100" s="141">
        <f t="shared" si="33"/>
        <v>31.079039635079262</v>
      </c>
      <c r="D100" s="141">
        <f t="shared" si="34"/>
        <v>110.86772231198879</v>
      </c>
      <c r="E100" s="142">
        <f t="shared" si="5"/>
        <v>9.4964355690789426E-2</v>
      </c>
      <c r="F100" s="144">
        <f t="shared" si="35"/>
        <v>2.3548434193642583E-3</v>
      </c>
      <c r="G100" s="145">
        <f t="shared" si="36"/>
        <v>1360.7444456238984</v>
      </c>
      <c r="H100" s="141">
        <f t="shared" si="45"/>
        <v>1446.9690340184807</v>
      </c>
      <c r="I100" s="142">
        <f t="shared" si="6"/>
        <v>11.449322656064655</v>
      </c>
      <c r="J100" s="142">
        <f t="shared" si="7"/>
        <v>6.8404627825778747E-2</v>
      </c>
      <c r="K100" s="142">
        <f t="shared" si="8"/>
        <v>6.190862641803542E-2</v>
      </c>
      <c r="L100" s="142">
        <f t="shared" si="9"/>
        <v>6.4960014077433265E-3</v>
      </c>
      <c r="M100" s="146">
        <f t="shared" si="37"/>
        <v>3.3533661608876253E-3</v>
      </c>
      <c r="N100" s="146">
        <f t="shared" si="46"/>
        <v>5.4832800651967349E-6</v>
      </c>
      <c r="O100" s="146">
        <f t="shared" si="47"/>
        <v>4.3548130027394556E-5</v>
      </c>
      <c r="P100" s="146">
        <f t="shared" si="48"/>
        <v>8.5465465186494261E-5</v>
      </c>
      <c r="Q100" s="146">
        <f t="shared" si="49"/>
        <v>1.2440876300995706E-4</v>
      </c>
      <c r="R100" s="146">
        <f t="shared" si="50"/>
        <v>1.5950049077125735E-4</v>
      </c>
      <c r="S100" s="146">
        <f t="shared" si="51"/>
        <v>1.9035649737511899E-4</v>
      </c>
      <c r="T100" s="146">
        <f t="shared" si="52"/>
        <v>2.1699821618760871E-4</v>
      </c>
      <c r="U100" s="146">
        <f t="shared" si="53"/>
        <v>2.3971675471761008E-4</v>
      </c>
      <c r="V100" s="146">
        <f t="shared" si="54"/>
        <v>2.5894391029804796E-4</v>
      </c>
      <c r="W100" s="146">
        <f t="shared" si="55"/>
        <v>2.751563497343182E-4</v>
      </c>
      <c r="X100" s="146">
        <f t="shared" si="56"/>
        <v>2.8881628608882397E-4</v>
      </c>
      <c r="Y100" s="146">
        <f t="shared" si="57"/>
        <v>3.0034104734979149E-4</v>
      </c>
      <c r="Z100" s="146">
        <f t="shared" ref="Z100:Z111" si="58">$L100*($D$98/$D100-$D$97/$D100)</f>
        <v>3.1009168687889981E-4</v>
      </c>
      <c r="AA100" s="146">
        <f>$L100-SUM(M100:Z100)</f>
        <v>6.4380836916518198E-4</v>
      </c>
      <c r="AB100" s="146">
        <v>0</v>
      </c>
      <c r="AC100" s="146">
        <v>0</v>
      </c>
      <c r="AD100" s="146">
        <v>0</v>
      </c>
      <c r="AE100" s="146">
        <v>0</v>
      </c>
      <c r="AF100" s="146">
        <v>0</v>
      </c>
      <c r="AG100" s="146">
        <v>0</v>
      </c>
      <c r="AH100" s="146">
        <v>0</v>
      </c>
      <c r="AI100" s="146">
        <v>0</v>
      </c>
      <c r="AJ100" s="146">
        <v>0</v>
      </c>
      <c r="AK100" s="146">
        <v>0</v>
      </c>
      <c r="AL100" s="146">
        <v>0</v>
      </c>
      <c r="AM100" s="161">
        <f t="shared" si="38"/>
        <v>6.5485051584748388E-3</v>
      </c>
      <c r="AN100" s="26">
        <f t="shared" si="39"/>
        <v>9.8227577377122649E-2</v>
      </c>
      <c r="AO100" s="118">
        <v>0</v>
      </c>
      <c r="AP100" s="118">
        <f t="shared" si="10"/>
        <v>2.2948212010350934E-3</v>
      </c>
      <c r="AQ100" s="147">
        <f t="shared" si="40"/>
        <v>1087.7444456238984</v>
      </c>
      <c r="AR100" s="148">
        <f t="shared" si="11"/>
        <v>0.27158047204019475</v>
      </c>
      <c r="AS100" s="149">
        <f t="shared" si="12"/>
        <v>26.197725412802434</v>
      </c>
      <c r="AT100" s="150">
        <f t="shared" si="13"/>
        <v>2.5458553715921619</v>
      </c>
      <c r="AU100" s="151">
        <f t="shared" si="14"/>
        <v>2.4440843982471892E-5</v>
      </c>
      <c r="AV100" s="151">
        <f t="shared" si="15"/>
        <v>4.9601972689700047E-5</v>
      </c>
      <c r="AW100" s="152">
        <f t="shared" si="16"/>
        <v>1595.5238711486857</v>
      </c>
      <c r="AX100" s="153">
        <f t="shared" si="17"/>
        <v>4.0112217157818937E-2</v>
      </c>
      <c r="AY100" s="154">
        <f t="shared" si="18"/>
        <v>2.0196906397929679E-3</v>
      </c>
      <c r="AZ100" s="155">
        <f t="shared" si="19"/>
        <v>0.71619928841341307</v>
      </c>
      <c r="BA100" s="154">
        <f t="shared" si="20"/>
        <v>8.4663276647942959E-2</v>
      </c>
      <c r="BB100" s="154">
        <f t="shared" si="41"/>
        <v>1.0523143585155359</v>
      </c>
      <c r="BC100" s="154">
        <f t="shared" si="42"/>
        <v>0.7095785354153874</v>
      </c>
      <c r="BI100" s="154">
        <f t="shared" si="21"/>
        <v>24.376378551350484</v>
      </c>
      <c r="BJ100" s="154">
        <f t="shared" si="22"/>
        <v>18.029939522121669</v>
      </c>
      <c r="BK100" s="157">
        <f t="shared" si="23"/>
        <v>39.347369074645208</v>
      </c>
      <c r="BL100" s="158">
        <f t="shared" si="24"/>
        <v>44.349765351504331</v>
      </c>
      <c r="BM100" s="162">
        <f t="shared" si="43"/>
        <v>51.884983807777232</v>
      </c>
      <c r="BN100" s="159">
        <f>SUM(AB85:AB111)*1000</f>
        <v>3.4539737262363048</v>
      </c>
      <c r="BO100" s="157">
        <f t="shared" si="25"/>
        <v>3.5908164307726396</v>
      </c>
      <c r="BP100" s="143">
        <f t="shared" si="26"/>
        <v>1085.9490374085121</v>
      </c>
      <c r="BQ100" s="157">
        <f t="shared" si="27"/>
        <v>39.27114019920397</v>
      </c>
      <c r="BR100" s="158">
        <f t="shared" si="28"/>
        <v>44.113719791397934</v>
      </c>
      <c r="BS100" s="96">
        <f t="shared" si="29"/>
        <v>51.884983807777232</v>
      </c>
      <c r="BT100" s="96">
        <f t="shared" si="30"/>
        <v>3.4539737262363048</v>
      </c>
      <c r="BU100" s="160">
        <f t="shared" si="31"/>
        <v>3.5512750957164476</v>
      </c>
      <c r="BW100" s="108"/>
      <c r="BX100" s="108"/>
      <c r="BY100" s="1"/>
    </row>
    <row r="101" spans="1:77" ht="12" customHeight="1" x14ac:dyDescent="0.2">
      <c r="A101" s="90">
        <f t="shared" si="44"/>
        <v>16</v>
      </c>
      <c r="B101" s="141">
        <f t="shared" si="32"/>
        <v>104.77608253559748</v>
      </c>
      <c r="C101" s="141">
        <f t="shared" si="33"/>
        <v>29.416620694688341</v>
      </c>
      <c r="D101" s="141">
        <f t="shared" si="34"/>
        <v>116.52527384634378</v>
      </c>
      <c r="E101" s="142">
        <f t="shared" si="5"/>
        <v>9.9560900642630346E-2</v>
      </c>
      <c r="F101" s="144">
        <f t="shared" si="35"/>
        <v>2.3548434193642583E-3</v>
      </c>
      <c r="G101" s="145">
        <f t="shared" si="36"/>
        <v>1357.193170528182</v>
      </c>
      <c r="H101" s="141">
        <f t="shared" si="45"/>
        <v>1446.9690340184807</v>
      </c>
      <c r="I101" s="142">
        <f t="shared" si="6"/>
        <v>10.029596539808145</v>
      </c>
      <c r="J101" s="142">
        <f t="shared" si="7"/>
        <v>5.9922393591107827E-2</v>
      </c>
      <c r="K101" s="142">
        <f t="shared" si="8"/>
        <v>5.3956466116514952E-2</v>
      </c>
      <c r="L101" s="142">
        <f t="shared" si="9"/>
        <v>5.9659274745928748E-3</v>
      </c>
      <c r="M101" s="146">
        <f t="shared" si="37"/>
        <v>2.9302038175615698E-3</v>
      </c>
      <c r="N101" s="146">
        <f t="shared" si="46"/>
        <v>4.7913432082663336E-6</v>
      </c>
      <c r="O101" s="146">
        <f t="shared" si="47"/>
        <v>3.8052777636475396E-5</v>
      </c>
      <c r="P101" s="146">
        <f t="shared" si="48"/>
        <v>7.4680550928220914E-5</v>
      </c>
      <c r="Q101" s="146">
        <f t="shared" si="49"/>
        <v>1.0870958160244437E-4</v>
      </c>
      <c r="R101" s="146">
        <f t="shared" si="50"/>
        <v>1.3937307306672754E-4</v>
      </c>
      <c r="S101" s="146">
        <f t="shared" si="51"/>
        <v>1.6633535037479435E-4</v>
      </c>
      <c r="T101" s="146">
        <f t="shared" si="52"/>
        <v>1.8961514220942533E-4</v>
      </c>
      <c r="U101" s="146">
        <f t="shared" si="53"/>
        <v>2.0946682113028863E-4</v>
      </c>
      <c r="V101" s="146">
        <f t="shared" si="54"/>
        <v>2.2626769582741283E-4</v>
      </c>
      <c r="W101" s="146">
        <f t="shared" si="55"/>
        <v>2.4043428237028309E-4</v>
      </c>
      <c r="X101" s="146">
        <f t="shared" si="56"/>
        <v>2.5237046700781894E-4</v>
      </c>
      <c r="Y101" s="146">
        <f t="shared" si="57"/>
        <v>2.6244091497656431E-4</v>
      </c>
      <c r="Z101" s="146">
        <f t="shared" si="58"/>
        <v>2.709611181995547E-4</v>
      </c>
      <c r="AA101" s="146">
        <f t="shared" ref="AA101:AA111" si="59">$L101*($D$99/$D101-$D$98/$D101)</f>
        <v>2.7819696772179607E-4</v>
      </c>
      <c r="AB101" s="146">
        <f>$L101-SUM(M101:AA101)</f>
        <v>5.7402757077123275E-4</v>
      </c>
      <c r="AC101" s="146">
        <v>0</v>
      </c>
      <c r="AD101" s="146">
        <v>0</v>
      </c>
      <c r="AE101" s="146">
        <v>0</v>
      </c>
      <c r="AF101" s="146">
        <v>0</v>
      </c>
      <c r="AG101" s="146">
        <v>0</v>
      </c>
      <c r="AH101" s="146">
        <v>0</v>
      </c>
      <c r="AI101" s="146">
        <v>0</v>
      </c>
      <c r="AJ101" s="146">
        <v>0</v>
      </c>
      <c r="AK101" s="146">
        <v>0</v>
      </c>
      <c r="AL101" s="146">
        <v>0</v>
      </c>
      <c r="AM101" s="161">
        <f t="shared" si="38"/>
        <v>6.5485051584748388E-3</v>
      </c>
      <c r="AN101" s="26">
        <f t="shared" si="39"/>
        <v>0.10477608253559749</v>
      </c>
      <c r="AO101" s="118">
        <v>0</v>
      </c>
      <c r="AP101" s="118">
        <f t="shared" si="10"/>
        <v>2.2916974428943658E-3</v>
      </c>
      <c r="AQ101" s="147">
        <f t="shared" si="40"/>
        <v>1084.193170528182</v>
      </c>
      <c r="AR101" s="148">
        <f t="shared" si="11"/>
        <v>0.27213076780137285</v>
      </c>
      <c r="AS101" s="149">
        <f t="shared" si="12"/>
        <v>26.144749053812788</v>
      </c>
      <c r="AT101" s="150">
        <f t="shared" si="13"/>
        <v>2.5407072090713321</v>
      </c>
      <c r="AU101" s="151">
        <f t="shared" si="14"/>
        <v>2.4440843982471892E-5</v>
      </c>
      <c r="AV101" s="151">
        <f t="shared" si="15"/>
        <v>4.9534453457301585E-5</v>
      </c>
      <c r="AW101" s="152">
        <f t="shared" si="16"/>
        <v>1597.6986916934657</v>
      </c>
      <c r="AX101" s="153">
        <f t="shared" si="17"/>
        <v>4.0057615577167312E-2</v>
      </c>
      <c r="AY101" s="154">
        <f t="shared" si="18"/>
        <v>2.0128627886364008E-3</v>
      </c>
      <c r="AZ101" s="155">
        <f t="shared" si="19"/>
        <v>0.7161778968611574</v>
      </c>
      <c r="BA101" s="154">
        <f t="shared" si="20"/>
        <v>8.448546785517555E-2</v>
      </c>
      <c r="BB101" s="154">
        <f t="shared" si="41"/>
        <v>1.0299178797789192</v>
      </c>
      <c r="BC101" s="154">
        <f t="shared" si="42"/>
        <v>0.69397069872966921</v>
      </c>
      <c r="BI101" s="154">
        <f t="shared" si="21"/>
        <v>23.846239126626855</v>
      </c>
      <c r="BJ101" s="154">
        <f t="shared" si="22"/>
        <v>17.600780216419963</v>
      </c>
      <c r="BK101" s="157">
        <f t="shared" si="23"/>
        <v>38.263609689043783</v>
      </c>
      <c r="BL101" s="158">
        <f t="shared" si="24"/>
        <v>43.883775920212493</v>
      </c>
      <c r="BM101" s="162">
        <f t="shared" si="43"/>
        <v>51.884983807777232</v>
      </c>
      <c r="BN101" s="159">
        <f>SUM(AC85:AC111)*1000</f>
        <v>3.1912000846480195</v>
      </c>
      <c r="BO101" s="157">
        <f t="shared" si="25"/>
        <v>3.4278549109591716</v>
      </c>
      <c r="BP101" s="143">
        <f t="shared" si="26"/>
        <v>1082.4792430727025</v>
      </c>
      <c r="BQ101" s="157">
        <f t="shared" si="27"/>
        <v>38.192572398165744</v>
      </c>
      <c r="BR101" s="158">
        <f t="shared" si="28"/>
        <v>43.660183427014339</v>
      </c>
      <c r="BS101" s="96">
        <f t="shared" si="29"/>
        <v>51.884983807777232</v>
      </c>
      <c r="BT101" s="96">
        <f t="shared" si="30"/>
        <v>3.1912000846480195</v>
      </c>
      <c r="BU101" s="160">
        <f t="shared" si="31"/>
        <v>3.3905478064270334</v>
      </c>
      <c r="BW101" s="108"/>
      <c r="BX101" s="108"/>
      <c r="BY101" s="1"/>
    </row>
    <row r="102" spans="1:77" ht="12" customHeight="1" x14ac:dyDescent="0.2">
      <c r="A102" s="90">
        <f t="shared" si="44"/>
        <v>17</v>
      </c>
      <c r="B102" s="141">
        <f t="shared" si="32"/>
        <v>111.32458769407232</v>
      </c>
      <c r="C102" s="141">
        <f t="shared" si="33"/>
        <v>27.909290283868266</v>
      </c>
      <c r="D102" s="141">
        <f t="shared" si="34"/>
        <v>122.2717991971317</v>
      </c>
      <c r="E102" s="142">
        <f t="shared" si="5"/>
        <v>0.10420583528353966</v>
      </c>
      <c r="F102" s="144">
        <f t="shared" si="35"/>
        <v>2.3548434193642583E-3</v>
      </c>
      <c r="G102" s="145">
        <f t="shared" si="36"/>
        <v>1353.8026227217549</v>
      </c>
      <c r="H102" s="141">
        <f t="shared" si="45"/>
        <v>1446.9690340184807</v>
      </c>
      <c r="I102" s="142">
        <f t="shared" si="6"/>
        <v>8.8066558858658937</v>
      </c>
      <c r="J102" s="142">
        <f t="shared" si="7"/>
        <v>5.2615865266340725E-2</v>
      </c>
      <c r="K102" s="142">
        <f t="shared" si="8"/>
        <v>4.7132985077095506E-2</v>
      </c>
      <c r="L102" s="142">
        <f t="shared" si="9"/>
        <v>5.4828801892452192E-3</v>
      </c>
      <c r="M102" s="146">
        <f t="shared" si="37"/>
        <v>2.5663887666271231E-3</v>
      </c>
      <c r="N102" s="146">
        <f t="shared" si="46"/>
        <v>4.1964484903928713E-6</v>
      </c>
      <c r="O102" s="146">
        <f t="shared" si="47"/>
        <v>3.332813249369103E-5</v>
      </c>
      <c r="P102" s="146">
        <f t="shared" si="48"/>
        <v>6.5408189641634869E-5</v>
      </c>
      <c r="Q102" s="146">
        <f t="shared" si="49"/>
        <v>9.5212164893504798E-5</v>
      </c>
      <c r="R102" s="146">
        <f t="shared" si="50"/>
        <v>1.220684673690739E-4</v>
      </c>
      <c r="S102" s="146">
        <f t="shared" si="51"/>
        <v>1.4568309963164833E-4</v>
      </c>
      <c r="T102" s="146">
        <f t="shared" si="52"/>
        <v>1.6607246500471428E-4</v>
      </c>
      <c r="U102" s="146">
        <f t="shared" si="53"/>
        <v>1.8345935306889958E-4</v>
      </c>
      <c r="V102" s="146">
        <f t="shared" si="54"/>
        <v>1.9817422574560365E-4</v>
      </c>
      <c r="W102" s="146">
        <f t="shared" si="55"/>
        <v>2.1058188433480251E-4</v>
      </c>
      <c r="X102" s="146">
        <f t="shared" si="56"/>
        <v>2.2103606843850484E-4</v>
      </c>
      <c r="Y102" s="146">
        <f t="shared" si="57"/>
        <v>2.2985616633988513E-4</v>
      </c>
      <c r="Z102" s="146">
        <f t="shared" si="58"/>
        <v>2.3731849838307386E-4</v>
      </c>
      <c r="AA102" s="146">
        <f t="shared" si="59"/>
        <v>2.4365594249518225E-4</v>
      </c>
      <c r="AB102" s="146">
        <f t="shared" ref="AB102:AB111" si="60">$L102*($D$100/$D102-$D$99/$D102)</f>
        <v>2.4906166936522456E-4</v>
      </c>
      <c r="AC102" s="146">
        <f>$L102-SUM(M102:AB102)</f>
        <v>5.1137864692225952E-4</v>
      </c>
      <c r="AD102" s="146">
        <v>0</v>
      </c>
      <c r="AE102" s="146">
        <v>0</v>
      </c>
      <c r="AF102" s="146">
        <v>0</v>
      </c>
      <c r="AG102" s="146">
        <v>0</v>
      </c>
      <c r="AH102" s="146">
        <v>0</v>
      </c>
      <c r="AI102" s="146">
        <v>0</v>
      </c>
      <c r="AJ102" s="146">
        <v>0</v>
      </c>
      <c r="AK102" s="146">
        <v>0</v>
      </c>
      <c r="AL102" s="146">
        <v>0</v>
      </c>
      <c r="AM102" s="161">
        <f t="shared" si="38"/>
        <v>6.5485051584748388E-3</v>
      </c>
      <c r="AN102" s="26">
        <f t="shared" si="39"/>
        <v>0.11132458769407233</v>
      </c>
      <c r="AO102" s="118">
        <v>0</v>
      </c>
      <c r="AP102" s="118">
        <f t="shared" si="10"/>
        <v>2.288705464919953E-3</v>
      </c>
      <c r="AQ102" s="147">
        <f t="shared" si="40"/>
        <v>1080.8026227217549</v>
      </c>
      <c r="AR102" s="148">
        <f t="shared" si="11"/>
        <v>0.27265888770584434</v>
      </c>
      <c r="AS102" s="149">
        <f t="shared" si="12"/>
        <v>26.094108627275045</v>
      </c>
      <c r="AT102" s="150">
        <f t="shared" si="13"/>
        <v>2.5357860489366497</v>
      </c>
      <c r="AU102" s="151">
        <f t="shared" si="14"/>
        <v>2.4440843982471892E-5</v>
      </c>
      <c r="AV102" s="151">
        <f t="shared" si="15"/>
        <v>4.9469782619456766E-5</v>
      </c>
      <c r="AW102" s="152">
        <f t="shared" si="16"/>
        <v>1599.7873306068445</v>
      </c>
      <c r="AX102" s="153">
        <f t="shared" si="17"/>
        <v>4.0005317441614563E-2</v>
      </c>
      <c r="AY102" s="154">
        <f t="shared" si="18"/>
        <v>2.0063411748298967E-3</v>
      </c>
      <c r="AZ102" s="155">
        <f t="shared" si="19"/>
        <v>0.71615411974150989</v>
      </c>
      <c r="BA102" s="154">
        <f t="shared" si="20"/>
        <v>8.4315706517055541E-2</v>
      </c>
      <c r="BB102" s="154">
        <f t="shared" si="41"/>
        <v>1.0093139913834579</v>
      </c>
      <c r="BC102" s="154">
        <f t="shared" si="42"/>
        <v>0.67965177705607627</v>
      </c>
      <c r="BI102" s="154">
        <f t="shared" si="21"/>
        <v>23.359852799078851</v>
      </c>
      <c r="BJ102" s="154">
        <f t="shared" si="22"/>
        <v>17.20713622945879</v>
      </c>
      <c r="BK102" s="157">
        <f t="shared" si="23"/>
        <v>37.270453166848419</v>
      </c>
      <c r="BL102" s="158">
        <f t="shared" si="24"/>
        <v>43.442277006436647</v>
      </c>
      <c r="BM102" s="162">
        <f t="shared" si="43"/>
        <v>51.884983807777232</v>
      </c>
      <c r="BN102" s="159">
        <f>SUM(AD85:AD111)*1000</f>
        <v>2.951304789365528</v>
      </c>
      <c r="BO102" s="157">
        <f t="shared" si="25"/>
        <v>3.2765699972520785</v>
      </c>
      <c r="BP102" s="143">
        <f t="shared" si="26"/>
        <v>1079.1643377231289</v>
      </c>
      <c r="BQ102" s="157">
        <f t="shared" si="27"/>
        <v>37.204069676009027</v>
      </c>
      <c r="BR102" s="158">
        <f t="shared" si="28"/>
        <v>43.230133550545041</v>
      </c>
      <c r="BS102" s="96">
        <f t="shared" si="29"/>
        <v>51.884983807777232</v>
      </c>
      <c r="BT102" s="96">
        <f t="shared" si="30"/>
        <v>2.951304789365528</v>
      </c>
      <c r="BU102" s="160">
        <f t="shared" si="31"/>
        <v>3.2413018930809701</v>
      </c>
      <c r="BW102" s="108"/>
      <c r="BX102" s="108"/>
      <c r="BY102" s="1"/>
    </row>
    <row r="103" spans="1:77" ht="12" customHeight="1" x14ac:dyDescent="0.2">
      <c r="A103" s="90">
        <f t="shared" si="44"/>
        <v>18</v>
      </c>
      <c r="B103" s="141">
        <f t="shared" si="32"/>
        <v>117.87309285254716</v>
      </c>
      <c r="C103" s="141">
        <f t="shared" si="33"/>
        <v>26.538134903057554</v>
      </c>
      <c r="D103" s="141">
        <f t="shared" si="34"/>
        <v>128.09532447542</v>
      </c>
      <c r="E103" s="142">
        <f t="shared" si="5"/>
        <v>0.10888856503239175</v>
      </c>
      <c r="F103" s="144">
        <f t="shared" si="35"/>
        <v>2.3548434193642583E-3</v>
      </c>
      <c r="G103" s="145">
        <f t="shared" si="36"/>
        <v>1350.5613208286738</v>
      </c>
      <c r="H103" s="141">
        <f t="shared" si="45"/>
        <v>1446.9690340184807</v>
      </c>
      <c r="I103" s="142">
        <f t="shared" si="6"/>
        <v>7.7542041358169289</v>
      </c>
      <c r="J103" s="142">
        <f t="shared" si="7"/>
        <v>4.6327932571164659E-2</v>
      </c>
      <c r="K103" s="142">
        <f t="shared" si="8"/>
        <v>4.1283350472573137E-2</v>
      </c>
      <c r="L103" s="142">
        <f t="shared" si="9"/>
        <v>5.0445820985915227E-3</v>
      </c>
      <c r="M103" s="146">
        <f t="shared" si="37"/>
        <v>2.2538858073406845E-3</v>
      </c>
      <c r="N103" s="146">
        <f t="shared" si="46"/>
        <v>3.6854570970413075E-6</v>
      </c>
      <c r="O103" s="146">
        <f t="shared" si="47"/>
        <v>2.9269846326292471E-5</v>
      </c>
      <c r="P103" s="146">
        <f t="shared" si="48"/>
        <v>5.7443592426131161E-5</v>
      </c>
      <c r="Q103" s="146">
        <f t="shared" si="49"/>
        <v>8.3618409622983602E-5</v>
      </c>
      <c r="R103" s="146">
        <f t="shared" si="50"/>
        <v>1.0720448503543468E-4</v>
      </c>
      <c r="S103" s="146">
        <f t="shared" si="51"/>
        <v>1.2794362058430789E-4</v>
      </c>
      <c r="T103" s="146">
        <f t="shared" si="52"/>
        <v>1.4585022220002313E-4</v>
      </c>
      <c r="U103" s="146">
        <f t="shared" si="53"/>
        <v>1.6111995091427065E-4</v>
      </c>
      <c r="V103" s="146">
        <f t="shared" si="54"/>
        <v>1.7404302909873213E-4</v>
      </c>
      <c r="W103" s="146">
        <f t="shared" si="55"/>
        <v>1.8493983708050949E-4</v>
      </c>
      <c r="X103" s="146">
        <f t="shared" si="56"/>
        <v>1.9412104044496604E-4</v>
      </c>
      <c r="Y103" s="146">
        <f t="shared" si="57"/>
        <v>2.0186713633573095E-4</v>
      </c>
      <c r="Z103" s="146">
        <f t="shared" si="58"/>
        <v>2.0842079823626695E-4</v>
      </c>
      <c r="AA103" s="146">
        <f t="shared" si="59"/>
        <v>2.1398654709117195E-4</v>
      </c>
      <c r="AB103" s="146">
        <f t="shared" si="60"/>
        <v>2.1873403166139182E-4</v>
      </c>
      <c r="AC103" s="146">
        <f t="shared" ref="AC103:AC111" si="61">$L103*($D$101/$D103-$D$100/$D103)</f>
        <v>2.2280269251781103E-4</v>
      </c>
      <c r="AD103" s="146">
        <f>$L103-SUM(M103:AC103)</f>
        <v>4.5564559457777262E-4</v>
      </c>
      <c r="AE103" s="146">
        <v>0</v>
      </c>
      <c r="AF103" s="146">
        <v>0</v>
      </c>
      <c r="AG103" s="146">
        <v>0</v>
      </c>
      <c r="AH103" s="146">
        <v>0</v>
      </c>
      <c r="AI103" s="146">
        <v>0</v>
      </c>
      <c r="AJ103" s="146">
        <v>0</v>
      </c>
      <c r="AK103" s="146">
        <v>0</v>
      </c>
      <c r="AL103" s="146">
        <v>0</v>
      </c>
      <c r="AM103" s="161">
        <f t="shared" si="38"/>
        <v>6.5485051584748388E-3</v>
      </c>
      <c r="AN103" s="26">
        <f t="shared" si="39"/>
        <v>0.11787309285254717</v>
      </c>
      <c r="AO103" s="118">
        <v>0</v>
      </c>
      <c r="AP103" s="118">
        <f t="shared" si="10"/>
        <v>2.285836422614161E-3</v>
      </c>
      <c r="AQ103" s="147">
        <f t="shared" si="40"/>
        <v>1077.5613208286738</v>
      </c>
      <c r="AR103" s="148">
        <f t="shared" si="11"/>
        <v>0.27316627455718134</v>
      </c>
      <c r="AS103" s="149">
        <f t="shared" si="12"/>
        <v>26.045640683579208</v>
      </c>
      <c r="AT103" s="150">
        <f t="shared" si="13"/>
        <v>2.531076007401984</v>
      </c>
      <c r="AU103" s="151">
        <f t="shared" si="14"/>
        <v>2.4440843982471892E-5</v>
      </c>
      <c r="AV103" s="151">
        <f t="shared" si="15"/>
        <v>4.9407769004612487E-5</v>
      </c>
      <c r="AW103" s="152">
        <f t="shared" si="16"/>
        <v>1601.7952859821164</v>
      </c>
      <c r="AX103" s="153">
        <f t="shared" si="17"/>
        <v>3.9955168154187301E-2</v>
      </c>
      <c r="AY103" s="154">
        <f t="shared" si="18"/>
        <v>2.0001041307676146E-3</v>
      </c>
      <c r="AZ103" s="155">
        <f t="shared" si="19"/>
        <v>0.71612835267113528</v>
      </c>
      <c r="BA103" s="154">
        <f t="shared" si="20"/>
        <v>8.4153417772570877E-2</v>
      </c>
      <c r="BB103" s="154">
        <f t="shared" si="41"/>
        <v>0.99026578525421161</v>
      </c>
      <c r="BC103" s="154">
        <f t="shared" si="42"/>
        <v>0.6664462810570253</v>
      </c>
      <c r="BI103" s="154">
        <f t="shared" si="21"/>
        <v>22.911256279747494</v>
      </c>
      <c r="BJ103" s="154">
        <f t="shared" si="22"/>
        <v>16.844211037619949</v>
      </c>
      <c r="BK103" s="157">
        <f t="shared" si="23"/>
        <v>36.355793708176435</v>
      </c>
      <c r="BL103" s="158">
        <f t="shared" si="24"/>
        <v>43.023302040306717</v>
      </c>
      <c r="BM103" s="162">
        <f t="shared" si="43"/>
        <v>51.884983807777232</v>
      </c>
      <c r="BN103" s="159">
        <f>SUM(AE85:AE111)*1000</f>
        <v>2.7334360279586365</v>
      </c>
      <c r="BO103" s="157">
        <f t="shared" si="25"/>
        <v>3.1352876541645784</v>
      </c>
      <c r="BP103" s="143">
        <f t="shared" si="26"/>
        <v>1075.9936770015915</v>
      </c>
      <c r="BQ103" s="157">
        <f t="shared" si="27"/>
        <v>36.293612364064423</v>
      </c>
      <c r="BR103" s="158">
        <f t="shared" si="28"/>
        <v>42.821745618783901</v>
      </c>
      <c r="BS103" s="96">
        <f t="shared" si="29"/>
        <v>51.884983807777232</v>
      </c>
      <c r="BT103" s="96">
        <f t="shared" si="30"/>
        <v>2.7334360279586365</v>
      </c>
      <c r="BU103" s="160">
        <f t="shared" si="31"/>
        <v>3.1018922103792126</v>
      </c>
      <c r="BW103" s="108"/>
      <c r="BX103" s="108"/>
      <c r="BY103" s="1"/>
    </row>
    <row r="104" spans="1:77" ht="12" customHeight="1" x14ac:dyDescent="0.2">
      <c r="A104" s="90">
        <f t="shared" si="44"/>
        <v>19</v>
      </c>
      <c r="B104" s="141">
        <f t="shared" si="32"/>
        <v>124.421598011022</v>
      </c>
      <c r="C104" s="141">
        <f t="shared" si="33"/>
        <v>25.286875839426628</v>
      </c>
      <c r="D104" s="141">
        <f t="shared" si="34"/>
        <v>133.98580994136546</v>
      </c>
      <c r="E104" s="142">
        <f t="shared" si="5"/>
        <v>0.11360023574523848</v>
      </c>
      <c r="F104" s="144">
        <f t="shared" si="35"/>
        <v>2.3548434193642583E-3</v>
      </c>
      <c r="G104" s="145">
        <f t="shared" si="36"/>
        <v>1347.4594286182946</v>
      </c>
      <c r="H104" s="141">
        <f t="shared" si="45"/>
        <v>1446.9690340184807</v>
      </c>
      <c r="I104" s="142">
        <f t="shared" si="6"/>
        <v>6.8480795815047939</v>
      </c>
      <c r="J104" s="142">
        <f t="shared" si="7"/>
        <v>4.0914240009300405E-2</v>
      </c>
      <c r="K104" s="142">
        <f t="shared" si="8"/>
        <v>3.6266372698906611E-2</v>
      </c>
      <c r="L104" s="142">
        <f t="shared" si="9"/>
        <v>4.647867310393794E-3</v>
      </c>
      <c r="M104" s="146">
        <f t="shared" si="37"/>
        <v>1.9853400688746711E-3</v>
      </c>
      <c r="N104" s="146">
        <f t="shared" si="46"/>
        <v>3.2463426598828264E-6</v>
      </c>
      <c r="O104" s="146">
        <f t="shared" si="47"/>
        <v>2.5782405893027994E-5</v>
      </c>
      <c r="P104" s="146">
        <f t="shared" si="48"/>
        <v>5.0599309588919612E-5</v>
      </c>
      <c r="Q104" s="146">
        <f t="shared" si="49"/>
        <v>7.3655452543071862E-5</v>
      </c>
      <c r="R104" s="146">
        <f t="shared" si="50"/>
        <v>9.4431296834441891E-5</v>
      </c>
      <c r="S104" s="146">
        <f t="shared" si="51"/>
        <v>1.1269940814021444E-4</v>
      </c>
      <c r="T104" s="146">
        <f t="shared" si="52"/>
        <v>1.284724759545951E-4</v>
      </c>
      <c r="U104" s="146">
        <f t="shared" si="53"/>
        <v>1.4192284871017476E-4</v>
      </c>
      <c r="V104" s="146">
        <f t="shared" si="54"/>
        <v>1.5330616939538872E-4</v>
      </c>
      <c r="W104" s="146">
        <f t="shared" si="55"/>
        <v>1.6290464569733632E-4</v>
      </c>
      <c r="X104" s="146">
        <f t="shared" si="56"/>
        <v>1.709919280523589E-4</v>
      </c>
      <c r="Y104" s="146">
        <f t="shared" si="57"/>
        <v>1.7781509296124442E-4</v>
      </c>
      <c r="Z104" s="146">
        <f t="shared" si="58"/>
        <v>1.8358789987391698E-4</v>
      </c>
      <c r="AA104" s="146">
        <f t="shared" si="59"/>
        <v>1.8849050149594585E-4</v>
      </c>
      <c r="AB104" s="146">
        <f t="shared" si="60"/>
        <v>1.9267233329635242E-4</v>
      </c>
      <c r="AC104" s="146">
        <f t="shared" si="61"/>
        <v>1.9625622179620528E-4</v>
      </c>
      <c r="AD104" s="146">
        <f t="shared" ref="AD104:AD111" si="62">$L104*($D$102/$D104-$D$101/$D104)</f>
        <v>1.9934265679301952E-4</v>
      </c>
      <c r="AE104" s="146">
        <f>$L104-SUM(M104:AD104)</f>
        <v>4.0635025183302555E-4</v>
      </c>
      <c r="AF104" s="146">
        <v>0</v>
      </c>
      <c r="AG104" s="146">
        <v>0</v>
      </c>
      <c r="AH104" s="146">
        <v>0</v>
      </c>
      <c r="AI104" s="146">
        <v>0</v>
      </c>
      <c r="AJ104" s="146">
        <v>0</v>
      </c>
      <c r="AK104" s="146">
        <v>0</v>
      </c>
      <c r="AL104" s="146">
        <v>0</v>
      </c>
      <c r="AM104" s="161">
        <f t="shared" si="38"/>
        <v>6.5485051584748388E-3</v>
      </c>
      <c r="AN104" s="26">
        <f t="shared" si="39"/>
        <v>0.12442159801102201</v>
      </c>
      <c r="AO104" s="118">
        <v>0</v>
      </c>
      <c r="AP104" s="118">
        <f t="shared" si="10"/>
        <v>2.2830827552087394E-3</v>
      </c>
      <c r="AQ104" s="147">
        <f t="shared" si="40"/>
        <v>1074.4594286182946</v>
      </c>
      <c r="AR104" s="148">
        <f t="shared" si="11"/>
        <v>0.27365415770380624</v>
      </c>
      <c r="AS104" s="149">
        <f t="shared" si="12"/>
        <v>25.999205324295101</v>
      </c>
      <c r="AT104" s="150">
        <f t="shared" si="13"/>
        <v>2.5265634893492721</v>
      </c>
      <c r="AU104" s="151">
        <f t="shared" si="14"/>
        <v>2.4440843982471892E-5</v>
      </c>
      <c r="AV104" s="151">
        <f t="shared" si="15"/>
        <v>4.9348249188698893E-5</v>
      </c>
      <c r="AW104" s="152">
        <f t="shared" si="16"/>
        <v>1603.7272402483836</v>
      </c>
      <c r="AX104" s="153">
        <f t="shared" si="17"/>
        <v>3.9907035556799385E-2</v>
      </c>
      <c r="AY104" s="154">
        <f t="shared" si="18"/>
        <v>1.9941330936656676E-3</v>
      </c>
      <c r="AZ104" s="155">
        <f t="shared" si="19"/>
        <v>0.71610093743071956</v>
      </c>
      <c r="BA104" s="154">
        <f t="shared" si="20"/>
        <v>8.399810913148939E-2</v>
      </c>
      <c r="BB104" s="154">
        <f t="shared" si="41"/>
        <v>0.9725786905804833</v>
      </c>
      <c r="BC104" s="154">
        <f t="shared" si="42"/>
        <v>0.65421098645337283</v>
      </c>
      <c r="BI104" s="154">
        <f t="shared" si="21"/>
        <v>22.495582994861419</v>
      </c>
      <c r="BJ104" s="154">
        <f t="shared" si="22"/>
        <v>16.508087966122279</v>
      </c>
      <c r="BK104" s="157">
        <f t="shared" si="23"/>
        <v>35.509737823724336</v>
      </c>
      <c r="BL104" s="158">
        <f t="shared" si="24"/>
        <v>42.625162153114012</v>
      </c>
      <c r="BM104" s="162">
        <f t="shared" si="43"/>
        <v>51.884983807777232</v>
      </c>
      <c r="BN104" s="159">
        <f>SUM(AF85:AF111)*1000</f>
        <v>2.5361884302414586</v>
      </c>
      <c r="BO104" s="157">
        <f t="shared" si="25"/>
        <v>3.0027192341492115</v>
      </c>
      <c r="BP104" s="143">
        <f t="shared" si="26"/>
        <v>1072.9580690012201</v>
      </c>
      <c r="BQ104" s="157">
        <f t="shared" si="27"/>
        <v>35.451374026551456</v>
      </c>
      <c r="BR104" s="158">
        <f t="shared" si="28"/>
        <v>42.433441697025572</v>
      </c>
      <c r="BS104" s="96">
        <f t="shared" si="29"/>
        <v>51.884983807777232</v>
      </c>
      <c r="BT104" s="96">
        <f t="shared" si="30"/>
        <v>2.5361884302414586</v>
      </c>
      <c r="BU104" s="160">
        <f t="shared" si="31"/>
        <v>2.9710526482080937</v>
      </c>
      <c r="BW104" s="108"/>
      <c r="BX104" s="108"/>
      <c r="BY104" s="1"/>
    </row>
    <row r="105" spans="1:77" ht="12" customHeight="1" x14ac:dyDescent="0.2">
      <c r="A105" s="90">
        <f t="shared" si="44"/>
        <v>20</v>
      </c>
      <c r="B105" s="141">
        <f t="shared" si="32"/>
        <v>130.97010316949684</v>
      </c>
      <c r="C105" s="141">
        <f t="shared" si="33"/>
        <v>24.141496913413306</v>
      </c>
      <c r="D105" s="141">
        <f t="shared" si="34"/>
        <v>139.93479988353661</v>
      </c>
      <c r="E105" s="142">
        <f t="shared" si="5"/>
        <v>0.11833341844708045</v>
      </c>
      <c r="F105" s="144">
        <f t="shared" si="35"/>
        <v>2.3548434193642583E-3</v>
      </c>
      <c r="G105" s="145">
        <f t="shared" si="36"/>
        <v>1344.4883759700865</v>
      </c>
      <c r="H105" s="141">
        <f t="shared" si="45"/>
        <v>1446.9690340184807</v>
      </c>
      <c r="I105" s="142">
        <f t="shared" si="6"/>
        <v>6.0668601081897959</v>
      </c>
      <c r="J105" s="142">
        <f t="shared" si="7"/>
        <v>3.6246799940777487E-2</v>
      </c>
      <c r="K105" s="142">
        <f t="shared" si="8"/>
        <v>3.1957592196017855E-2</v>
      </c>
      <c r="L105" s="142">
        <f t="shared" si="9"/>
        <v>4.2892077447596322E-3</v>
      </c>
      <c r="M105" s="146">
        <f t="shared" si="37"/>
        <v>1.7542494255857204E-3</v>
      </c>
      <c r="N105" s="146">
        <f t="shared" si="46"/>
        <v>2.8684731828243499E-6</v>
      </c>
      <c r="O105" s="146">
        <f t="shared" si="47"/>
        <v>2.2781372036529175E-5</v>
      </c>
      <c r="P105" s="146">
        <f t="shared" si="48"/>
        <v>4.4709624901546235E-5</v>
      </c>
      <c r="Q105" s="146">
        <f t="shared" si="49"/>
        <v>6.5082066967085561E-5</v>
      </c>
      <c r="R105" s="146">
        <f t="shared" si="50"/>
        <v>8.3439633756564153E-5</v>
      </c>
      <c r="S105" s="146">
        <f t="shared" si="51"/>
        <v>9.9581363965461103E-5</v>
      </c>
      <c r="T105" s="146">
        <f t="shared" si="52"/>
        <v>1.135184700496522E-4</v>
      </c>
      <c r="U105" s="146">
        <f t="shared" si="53"/>
        <v>1.2540323933946096E-4</v>
      </c>
      <c r="V105" s="146">
        <f t="shared" si="54"/>
        <v>1.3546155835813398E-4</v>
      </c>
      <c r="W105" s="146">
        <f t="shared" si="55"/>
        <v>1.4394278623600264E-4</v>
      </c>
      <c r="X105" s="146">
        <f t="shared" si="56"/>
        <v>1.5108872090395601E-4</v>
      </c>
      <c r="Y105" s="146">
        <f t="shared" si="57"/>
        <v>1.5711767952406451E-4</v>
      </c>
      <c r="Z105" s="146">
        <f t="shared" si="58"/>
        <v>1.6221854026290635E-4</v>
      </c>
      <c r="AA105" s="146">
        <f t="shared" si="59"/>
        <v>1.6655048631796922E-4</v>
      </c>
      <c r="AB105" s="146">
        <f t="shared" si="60"/>
        <v>1.7024555909102718E-4</v>
      </c>
      <c r="AC105" s="146">
        <f t="shared" si="61"/>
        <v>1.7341228827802931E-4</v>
      </c>
      <c r="AD105" s="146">
        <f t="shared" si="62"/>
        <v>1.7613946681290746E-4</v>
      </c>
      <c r="AE105" s="146">
        <f t="shared" ref="AE105:AE111" si="63">$L105*($D$103/$D105-$D$102/$D105)</f>
        <v>1.7849962801409186E-4</v>
      </c>
      <c r="AF105" s="146">
        <f>$L105-SUM(M105:AE105)</f>
        <v>3.6289736117569877E-4</v>
      </c>
      <c r="AG105" s="146">
        <v>0</v>
      </c>
      <c r="AH105" s="146">
        <v>0</v>
      </c>
      <c r="AI105" s="146">
        <v>0</v>
      </c>
      <c r="AJ105" s="146">
        <v>0</v>
      </c>
      <c r="AK105" s="146">
        <v>0</v>
      </c>
      <c r="AL105" s="146">
        <v>0</v>
      </c>
      <c r="AM105" s="161">
        <f t="shared" si="38"/>
        <v>6.5485051584748388E-3</v>
      </c>
      <c r="AN105" s="26">
        <f t="shared" si="39"/>
        <v>0.13097010316949684</v>
      </c>
      <c r="AO105" s="118">
        <v>0</v>
      </c>
      <c r="AP105" s="118">
        <f t="shared" si="10"/>
        <v>2.2804378811729221E-3</v>
      </c>
      <c r="AQ105" s="147">
        <f t="shared" si="40"/>
        <v>1071.4883759700865</v>
      </c>
      <c r="AR105" s="148">
        <f t="shared" si="11"/>
        <v>0.2741236045339745</v>
      </c>
      <c r="AS105" s="149">
        <f t="shared" si="12"/>
        <v>25.954680721800059</v>
      </c>
      <c r="AT105" s="150">
        <f t="shared" si="13"/>
        <v>2.522236655754222</v>
      </c>
      <c r="AU105" s="151">
        <f t="shared" si="14"/>
        <v>2.4440843982471892E-5</v>
      </c>
      <c r="AV105" s="151">
        <f t="shared" si="15"/>
        <v>4.9291080913613591E-5</v>
      </c>
      <c r="AW105" s="152">
        <f t="shared" si="16"/>
        <v>1605.5872587006668</v>
      </c>
      <c r="AX105" s="153">
        <f t="shared" si="17"/>
        <v>3.9860804607899335E-2</v>
      </c>
      <c r="AY105" s="154">
        <f t="shared" si="18"/>
        <v>1.988411887404173E-3</v>
      </c>
      <c r="AZ105" s="155">
        <f t="shared" si="19"/>
        <v>0.71607217114960486</v>
      </c>
      <c r="BA105" s="154">
        <f t="shared" si="20"/>
        <v>8.3849351496446262E-2</v>
      </c>
      <c r="BB105" s="154">
        <f t="shared" si="41"/>
        <v>0.95609113717918393</v>
      </c>
      <c r="BC105" s="154">
        <f t="shared" si="42"/>
        <v>0.64282762255449577</v>
      </c>
      <c r="BI105" s="154">
        <f t="shared" si="21"/>
        <v>22.108814624828174</v>
      </c>
      <c r="BJ105" s="154">
        <f t="shared" si="22"/>
        <v>16.195530492970374</v>
      </c>
      <c r="BK105" s="157">
        <f t="shared" si="23"/>
        <v>34.724100960336962</v>
      </c>
      <c r="BL105" s="158">
        <f t="shared" si="24"/>
        <v>42.246385381388549</v>
      </c>
      <c r="BM105" s="162">
        <f t="shared" si="43"/>
        <v>51.884983807777232</v>
      </c>
      <c r="BN105" s="159">
        <f>SUM(AG85:AG111)*1000</f>
        <v>2.3579043104564228</v>
      </c>
      <c r="BO105" s="157">
        <f t="shared" si="25"/>
        <v>2.8778518958863337</v>
      </c>
      <c r="BP105" s="143">
        <f t="shared" si="26"/>
        <v>1070.0494500221434</v>
      </c>
      <c r="BQ105" s="157">
        <f t="shared" si="27"/>
        <v>34.669223291165693</v>
      </c>
      <c r="BR105" s="158">
        <f t="shared" si="28"/>
        <v>42.063838304927494</v>
      </c>
      <c r="BS105" s="96">
        <f t="shared" si="29"/>
        <v>51.884983807777232</v>
      </c>
      <c r="BT105" s="96">
        <f t="shared" si="30"/>
        <v>2.3579043104564228</v>
      </c>
      <c r="BU105" s="160">
        <f t="shared" si="31"/>
        <v>2.84778830326078</v>
      </c>
      <c r="BW105" s="108"/>
      <c r="BX105" s="108"/>
      <c r="BY105" s="1"/>
    </row>
    <row r="106" spans="1:77" ht="12" customHeight="1" x14ac:dyDescent="0.2">
      <c r="A106" s="90">
        <f t="shared" si="44"/>
        <v>21</v>
      </c>
      <c r="B106" s="141">
        <f t="shared" si="32"/>
        <v>137.51860832797169</v>
      </c>
      <c r="C106" s="141">
        <f t="shared" si="33"/>
        <v>23.089913875862962</v>
      </c>
      <c r="D106" s="141">
        <f t="shared" si="34"/>
        <v>145.93513973977718</v>
      </c>
      <c r="E106" s="142">
        <f t="shared" si="5"/>
        <v>0.1230818546194965</v>
      </c>
      <c r="F106" s="144">
        <f t="shared" si="35"/>
        <v>2.3548434193642583E-3</v>
      </c>
      <c r="G106" s="145">
        <f t="shared" si="36"/>
        <v>1341.6405876668257</v>
      </c>
      <c r="H106" s="141">
        <f t="shared" si="45"/>
        <v>1446.9690340184807</v>
      </c>
      <c r="I106" s="142">
        <f t="shared" si="6"/>
        <v>5.3919597505677812</v>
      </c>
      <c r="J106" s="142">
        <f t="shared" si="7"/>
        <v>3.2214569461346917E-2</v>
      </c>
      <c r="K106" s="142">
        <f t="shared" si="8"/>
        <v>2.8249540506275744E-2</v>
      </c>
      <c r="L106" s="142">
        <f t="shared" si="9"/>
        <v>3.9650289550711738E-3</v>
      </c>
      <c r="M106" s="146">
        <f t="shared" si="37"/>
        <v>1.5549859788912877E-3</v>
      </c>
      <c r="N106" s="146">
        <f t="shared" si="46"/>
        <v>2.5426461682484595E-6</v>
      </c>
      <c r="O106" s="146">
        <f t="shared" si="47"/>
        <v>2.0193658655399703E-5</v>
      </c>
      <c r="P106" s="146">
        <f t="shared" si="48"/>
        <v>3.9631103097086905E-5</v>
      </c>
      <c r="Q106" s="146">
        <f t="shared" si="49"/>
        <v>5.7689459739906771E-5</v>
      </c>
      <c r="R106" s="146">
        <f t="shared" si="50"/>
        <v>7.3961808784381107E-5</v>
      </c>
      <c r="S106" s="146">
        <f t="shared" si="51"/>
        <v>8.8270015920604008E-5</v>
      </c>
      <c r="T106" s="146">
        <f t="shared" si="52"/>
        <v>1.0062401999274531E-4</v>
      </c>
      <c r="U106" s="146">
        <f t="shared" si="53"/>
        <v>1.1115881016481018E-4</v>
      </c>
      <c r="V106" s="146">
        <f t="shared" si="54"/>
        <v>1.2007461473463622E-4</v>
      </c>
      <c r="W106" s="146">
        <f t="shared" si="55"/>
        <v>1.2759246837706458E-4</v>
      </c>
      <c r="X106" s="146">
        <f t="shared" si="56"/>
        <v>1.3392670343661482E-4</v>
      </c>
      <c r="Y106" s="146">
        <f t="shared" si="57"/>
        <v>1.3927083864615283E-4</v>
      </c>
      <c r="Z106" s="146">
        <f t="shared" si="58"/>
        <v>1.4379229768925748E-4</v>
      </c>
      <c r="AA106" s="146">
        <f t="shared" si="59"/>
        <v>1.4763218230240944E-4</v>
      </c>
      <c r="AB106" s="146">
        <f t="shared" si="60"/>
        <v>1.5090753543594055E-4</v>
      </c>
      <c r="AC106" s="146">
        <f t="shared" si="61"/>
        <v>1.5371455900563022E-4</v>
      </c>
      <c r="AD106" s="146">
        <f t="shared" si="62"/>
        <v>1.5613196004439847E-4</v>
      </c>
      <c r="AE106" s="146">
        <f t="shared" si="63"/>
        <v>1.5822403288320784E-4</v>
      </c>
      <c r="AF106" s="146">
        <f t="shared" ref="AF106:AF111" si="64">$L106*($D$104/$D106-$D$103/$D106)</f>
        <v>1.6004332797122465E-4</v>
      </c>
      <c r="AG106" s="146">
        <f>$L106-SUM(M106:AF106)</f>
        <v>3.246609331301665E-4</v>
      </c>
      <c r="AH106" s="146">
        <v>0</v>
      </c>
      <c r="AI106" s="146">
        <v>0</v>
      </c>
      <c r="AJ106" s="146">
        <v>0</v>
      </c>
      <c r="AK106" s="146">
        <v>0</v>
      </c>
      <c r="AL106" s="146">
        <v>0</v>
      </c>
      <c r="AM106" s="161">
        <f t="shared" si="38"/>
        <v>6.5485051584748535E-3</v>
      </c>
      <c r="AN106" s="26">
        <f t="shared" si="39"/>
        <v>0.13751860832797169</v>
      </c>
      <c r="AO106" s="118">
        <v>0</v>
      </c>
      <c r="AP106" s="118">
        <f t="shared" si="10"/>
        <v>2.2778959813273205E-3</v>
      </c>
      <c r="AQ106" s="147">
        <f t="shared" si="40"/>
        <v>1068.6405876668257</v>
      </c>
      <c r="AR106" s="148">
        <f t="shared" si="11"/>
        <v>0.27457555710474374</v>
      </c>
      <c r="AS106" s="149">
        <f t="shared" si="12"/>
        <v>25.91195920354329</v>
      </c>
      <c r="AT106" s="150">
        <f t="shared" si="13"/>
        <v>2.5180850431610384</v>
      </c>
      <c r="AU106" s="151">
        <f t="shared" si="14"/>
        <v>2.4440843982471892E-5</v>
      </c>
      <c r="AV106" s="151">
        <f t="shared" si="15"/>
        <v>4.9236138399283998E-5</v>
      </c>
      <c r="AW106" s="152">
        <f t="shared" si="16"/>
        <v>1607.3789305059004</v>
      </c>
      <c r="AX106" s="153">
        <f t="shared" si="17"/>
        <v>3.9816373591419964E-2</v>
      </c>
      <c r="AY106" s="154">
        <f t="shared" si="18"/>
        <v>1.982926209089068E-3</v>
      </c>
      <c r="AZ106" s="155">
        <f t="shared" si="19"/>
        <v>0.71604231330202361</v>
      </c>
      <c r="BA106" s="154">
        <f t="shared" si="20"/>
        <v>8.3706765583890286E-2</v>
      </c>
      <c r="BB106" s="154">
        <f t="shared" si="41"/>
        <v>0.94066763061275571</v>
      </c>
      <c r="BC106" s="154">
        <f t="shared" si="42"/>
        <v>0.63219749928419378</v>
      </c>
      <c r="BI106" s="154">
        <f t="shared" si="21"/>
        <v>21.747598487619907</v>
      </c>
      <c r="BJ106" s="154">
        <f t="shared" si="22"/>
        <v>15.903835656267066</v>
      </c>
      <c r="BK106" s="157">
        <f t="shared" si="23"/>
        <v>33.992038674926917</v>
      </c>
      <c r="BL106" s="158">
        <f t="shared" si="24"/>
        <v>41.885672770421699</v>
      </c>
      <c r="BM106" s="162">
        <f t="shared" si="43"/>
        <v>51.884983807777232</v>
      </c>
      <c r="BN106" s="159">
        <f>SUM(AH85:AH111)*1000</f>
        <v>2.1968570435709407</v>
      </c>
      <c r="BO106" s="157">
        <f t="shared" si="25"/>
        <v>2.7598731240594874</v>
      </c>
      <c r="BP106" s="143">
        <f t="shared" si="26"/>
        <v>1067.2606511047959</v>
      </c>
      <c r="BQ106" s="157">
        <f t="shared" si="27"/>
        <v>33.940358611766861</v>
      </c>
      <c r="BR106" s="158">
        <f t="shared" si="28"/>
        <v>41.711708469549215</v>
      </c>
      <c r="BS106" s="96">
        <f t="shared" si="29"/>
        <v>51.884983807777232</v>
      </c>
      <c r="BT106" s="96">
        <f t="shared" si="30"/>
        <v>2.1968570435709407</v>
      </c>
      <c r="BU106" s="160">
        <f t="shared" si="31"/>
        <v>2.7313012065853446</v>
      </c>
      <c r="BW106" s="108"/>
      <c r="BX106" s="108"/>
      <c r="BY106" s="1"/>
    </row>
    <row r="107" spans="1:77" ht="12" customHeight="1" x14ac:dyDescent="0.2">
      <c r="A107" s="90">
        <f t="shared" si="44"/>
        <v>22</v>
      </c>
      <c r="B107" s="141">
        <f t="shared" si="32"/>
        <v>144.06711348644654</v>
      </c>
      <c r="C107" s="141">
        <f t="shared" si="33"/>
        <v>22.121687265673501</v>
      </c>
      <c r="D107" s="141">
        <f t="shared" si="34"/>
        <v>151.98074760611064</v>
      </c>
      <c r="E107" s="142">
        <f t="shared" si="5"/>
        <v>0.12784025046629133</v>
      </c>
      <c r="F107" s="144">
        <f t="shared" si="35"/>
        <v>2.3548434193642583E-3</v>
      </c>
      <c r="G107" s="145">
        <f t="shared" si="36"/>
        <v>1338.9092864602403</v>
      </c>
      <c r="H107" s="141">
        <f t="shared" si="45"/>
        <v>1446.9690340184807</v>
      </c>
      <c r="I107" s="142">
        <f t="shared" si="6"/>
        <v>4.8074685045051018</v>
      </c>
      <c r="J107" s="142">
        <f t="shared" si="7"/>
        <v>2.8722493348602815E-2</v>
      </c>
      <c r="K107" s="142">
        <f t="shared" si="8"/>
        <v>2.5050602604901044E-2</v>
      </c>
      <c r="L107" s="142">
        <f t="shared" si="9"/>
        <v>3.6718907437017709E-3</v>
      </c>
      <c r="M107" s="146">
        <f t="shared" si="37"/>
        <v>1.382742038021565E-3</v>
      </c>
      <c r="N107" s="146">
        <f t="shared" si="46"/>
        <v>2.2610002870626596E-6</v>
      </c>
      <c r="O107" s="146">
        <f t="shared" si="47"/>
        <v>1.7956831189042807E-5</v>
      </c>
      <c r="P107" s="146">
        <f t="shared" si="48"/>
        <v>3.524121311021777E-5</v>
      </c>
      <c r="Q107" s="146">
        <f t="shared" si="49"/>
        <v>5.1299267141944218E-5</v>
      </c>
      <c r="R107" s="146">
        <f t="shared" si="50"/>
        <v>6.5769147505237002E-5</v>
      </c>
      <c r="S107" s="146">
        <f t="shared" si="51"/>
        <v>7.8492451615079853E-5</v>
      </c>
      <c r="T107" s="146">
        <f t="shared" si="52"/>
        <v>8.9478017401736911E-5</v>
      </c>
      <c r="U107" s="146">
        <f t="shared" si="53"/>
        <v>9.884588144063754E-5</v>
      </c>
      <c r="V107" s="146">
        <f t="shared" si="54"/>
        <v>1.0677409298005816E-4</v>
      </c>
      <c r="W107" s="146">
        <f t="shared" si="55"/>
        <v>1.1345920294773224E-4</v>
      </c>
      <c r="X107" s="146">
        <f t="shared" si="56"/>
        <v>1.1909180235020022E-4</v>
      </c>
      <c r="Y107" s="146">
        <f t="shared" si="57"/>
        <v>1.23843974081272E-4</v>
      </c>
      <c r="Z107" s="146">
        <f t="shared" si="58"/>
        <v>1.2786459650292992E-4</v>
      </c>
      <c r="AA107" s="146">
        <f t="shared" si="59"/>
        <v>1.3127914168072113E-4</v>
      </c>
      <c r="AB107" s="146">
        <f t="shared" si="60"/>
        <v>1.3419168785707274E-4</v>
      </c>
      <c r="AC107" s="146">
        <f t="shared" si="61"/>
        <v>1.3668778077637641E-4</v>
      </c>
      <c r="AD107" s="146">
        <f t="shared" si="62"/>
        <v>1.388374091874605E-4</v>
      </c>
      <c r="AE107" s="146">
        <f t="shared" si="63"/>
        <v>1.4069774561498678E-4</v>
      </c>
      <c r="AF107" s="146">
        <f t="shared" si="64"/>
        <v>1.4231551955759222E-4</v>
      </c>
      <c r="AG107" s="146">
        <f>$L107*($D$105/$D107-$D$104/$D107)</f>
        <v>1.4372900151568243E-4</v>
      </c>
      <c r="AH107" s="146">
        <f>$L107-SUM(M107:AG107)</f>
        <v>2.9103294093716205E-4</v>
      </c>
      <c r="AI107" s="146">
        <v>0</v>
      </c>
      <c r="AJ107" s="146">
        <v>0</v>
      </c>
      <c r="AK107" s="146">
        <v>0</v>
      </c>
      <c r="AL107" s="146">
        <v>0</v>
      </c>
      <c r="AM107" s="161">
        <f t="shared" si="38"/>
        <v>6.5485051584748535E-3</v>
      </c>
      <c r="AN107" s="26">
        <f t="shared" si="39"/>
        <v>0.14406711348644655</v>
      </c>
      <c r="AO107" s="118">
        <v>0</v>
      </c>
      <c r="AP107" s="118">
        <f t="shared" si="10"/>
        <v>2.275451842329849E-3</v>
      </c>
      <c r="AQ107" s="147">
        <f t="shared" si="40"/>
        <v>1065.9092864602403</v>
      </c>
      <c r="AR107" s="148">
        <f t="shared" si="11"/>
        <v>0.27501085851554402</v>
      </c>
      <c r="AS107" s="149">
        <f t="shared" si="12"/>
        <v>25.870944414313563</v>
      </c>
      <c r="AT107" s="150">
        <f t="shared" si="13"/>
        <v>2.5140992879158826</v>
      </c>
      <c r="AU107" s="151">
        <f t="shared" si="14"/>
        <v>2.4440843982471892E-5</v>
      </c>
      <c r="AV107" s="151">
        <f t="shared" si="15"/>
        <v>4.9183308960655962E-5</v>
      </c>
      <c r="AW107" s="152">
        <f t="shared" si="16"/>
        <v>1609.1054700241968</v>
      </c>
      <c r="AX107" s="153">
        <f t="shared" si="17"/>
        <v>3.9773651380998414E-2</v>
      </c>
      <c r="AY107" s="154">
        <f t="shared" si="18"/>
        <v>1.977663256616928E-3</v>
      </c>
      <c r="AZ107" s="155">
        <f t="shared" si="19"/>
        <v>0.71601159119560931</v>
      </c>
      <c r="BA107" s="154">
        <f t="shared" si="20"/>
        <v>8.357001206377776E-2</v>
      </c>
      <c r="BB107" s="154">
        <f t="shared" si="41"/>
        <v>0.92619353336237886</v>
      </c>
      <c r="BC107" s="154">
        <f t="shared" si="42"/>
        <v>0.62223749110446236</v>
      </c>
      <c r="BI107" s="154">
        <f t="shared" si="21"/>
        <v>21.409111020448279</v>
      </c>
      <c r="BJ107" s="154">
        <f t="shared" si="22"/>
        <v>15.630724587642957</v>
      </c>
      <c r="BK107" s="157">
        <f t="shared" si="23"/>
        <v>33.307771666445738</v>
      </c>
      <c r="BL107" s="158">
        <f t="shared" si="24"/>
        <v>41.541866114177935</v>
      </c>
      <c r="BM107" s="162">
        <f t="shared" si="43"/>
        <v>51.884983807777232</v>
      </c>
      <c r="BN107" s="159">
        <f>SUM(AI85:AI111)*1000</f>
        <v>2.0513582055431305</v>
      </c>
      <c r="BO107" s="157">
        <f t="shared" si="25"/>
        <v>2.6481182605100897</v>
      </c>
      <c r="BP107" s="143">
        <f t="shared" si="26"/>
        <v>1064.5852273299852</v>
      </c>
      <c r="BQ107" s="157">
        <f t="shared" si="27"/>
        <v>33.259035818554615</v>
      </c>
      <c r="BR107" s="158">
        <f t="shared" si="28"/>
        <v>41.375953610872998</v>
      </c>
      <c r="BS107" s="96">
        <f t="shared" si="29"/>
        <v>51.884983807777232</v>
      </c>
      <c r="BT107" s="96">
        <f t="shared" si="30"/>
        <v>2.0513582055431305</v>
      </c>
      <c r="BU107" s="160">
        <f t="shared" si="31"/>
        <v>2.6209386985359613</v>
      </c>
      <c r="BW107" s="108"/>
      <c r="BX107" s="108"/>
      <c r="BY107" s="1"/>
    </row>
    <row r="108" spans="1:77" ht="12" customHeight="1" x14ac:dyDescent="0.2">
      <c r="A108" s="90">
        <f t="shared" si="44"/>
        <v>23</v>
      </c>
      <c r="B108" s="141">
        <f t="shared" si="32"/>
        <v>150.6156186449214</v>
      </c>
      <c r="C108" s="141">
        <f t="shared" si="33"/>
        <v>21.227776437083804</v>
      </c>
      <c r="D108" s="141">
        <f t="shared" si="34"/>
        <v>158.06642943578331</v>
      </c>
      <c r="E108" s="142">
        <f t="shared" si="5"/>
        <v>0.1326041105219512</v>
      </c>
      <c r="F108" s="144">
        <f t="shared" si="35"/>
        <v>2.3548434193642583E-3</v>
      </c>
      <c r="G108" s="145">
        <f t="shared" si="36"/>
        <v>1336.2883477617042</v>
      </c>
      <c r="H108" s="141">
        <f t="shared" si="45"/>
        <v>1446.9690340184807</v>
      </c>
      <c r="I108" s="142">
        <f t="shared" si="6"/>
        <v>4.2998790484097738</v>
      </c>
      <c r="J108" s="142">
        <f t="shared" si="7"/>
        <v>2.568987134330903E-2</v>
      </c>
      <c r="K108" s="142">
        <f t="shared" si="8"/>
        <v>2.2283288804406172E-2</v>
      </c>
      <c r="L108" s="142">
        <f t="shared" si="9"/>
        <v>3.4065825389028581E-3</v>
      </c>
      <c r="M108" s="146">
        <f t="shared" si="37"/>
        <v>1.2334435136051071E-3</v>
      </c>
      <c r="N108" s="146">
        <f t="shared" si="46"/>
        <v>2.0168737636174937E-6</v>
      </c>
      <c r="O108" s="146">
        <f t="shared" si="47"/>
        <v>1.6017981912748599E-5</v>
      </c>
      <c r="P108" s="146">
        <f t="shared" si="48"/>
        <v>3.1436120785456041E-5</v>
      </c>
      <c r="Q108" s="146">
        <f t="shared" si="49"/>
        <v>4.5760341820127639E-5</v>
      </c>
      <c r="R108" s="146">
        <f t="shared" si="50"/>
        <v>5.866786873836747E-5</v>
      </c>
      <c r="S108" s="146">
        <f t="shared" si="51"/>
        <v>7.0017402125206144E-5</v>
      </c>
      <c r="T108" s="146">
        <f t="shared" si="52"/>
        <v>7.9816825654862889E-5</v>
      </c>
      <c r="U108" s="146">
        <f t="shared" si="53"/>
        <v>8.8173215218059693E-5</v>
      </c>
      <c r="V108" s="146">
        <f t="shared" si="54"/>
        <v>9.524539558785532E-5</v>
      </c>
      <c r="W108" s="146">
        <f t="shared" si="55"/>
        <v>1.0120869553869962E-4</v>
      </c>
      <c r="X108" s="146">
        <f t="shared" si="56"/>
        <v>1.0623312743320649E-4</v>
      </c>
      <c r="Y108" s="146">
        <f t="shared" si="57"/>
        <v>1.1047219389394244E-4</v>
      </c>
      <c r="Z108" s="146">
        <f t="shared" si="58"/>
        <v>1.1405869846983954E-4</v>
      </c>
      <c r="AA108" s="146">
        <f t="shared" si="59"/>
        <v>1.171045656566682E-4</v>
      </c>
      <c r="AB108" s="146">
        <f t="shared" si="60"/>
        <v>1.1970263607798541E-4</v>
      </c>
      <c r="AC108" s="146">
        <f t="shared" si="61"/>
        <v>1.2192921886494982E-4</v>
      </c>
      <c r="AD108" s="146">
        <f t="shared" si="62"/>
        <v>1.2384674588546829E-4</v>
      </c>
      <c r="AE108" s="146">
        <f t="shared" si="63"/>
        <v>1.2550621658684297E-4</v>
      </c>
      <c r="AF108" s="146">
        <f t="shared" si="64"/>
        <v>1.2694931495307266E-4</v>
      </c>
      <c r="AG108" s="146">
        <f>$L108*($D$105/$D108-$D$104/$D108)</f>
        <v>1.2821017931161785E-4</v>
      </c>
      <c r="AH108" s="146">
        <f>$L108*($D$106/$D108-$D$105/$D108)</f>
        <v>1.2931685149537901E-4</v>
      </c>
      <c r="AI108" s="146">
        <f>$L108-SUM(M108:AH108)</f>
        <v>2.6144855552377722E-4</v>
      </c>
      <c r="AJ108" s="146">
        <v>0</v>
      </c>
      <c r="AK108" s="146">
        <v>0</v>
      </c>
      <c r="AL108" s="146">
        <v>0</v>
      </c>
      <c r="AM108" s="161">
        <f t="shared" si="38"/>
        <v>6.5485051584748535E-3</v>
      </c>
      <c r="AN108" s="26">
        <f t="shared" si="39"/>
        <v>0.1506156186449214</v>
      </c>
      <c r="AO108" s="118">
        <v>0</v>
      </c>
      <c r="AP108" s="118">
        <f t="shared" si="10"/>
        <v>2.2731007420865338E-3</v>
      </c>
      <c r="AQ108" s="147">
        <f t="shared" si="40"/>
        <v>1063.2883477617042</v>
      </c>
      <c r="AR108" s="148">
        <f t="shared" si="11"/>
        <v>0.27543027215616023</v>
      </c>
      <c r="AS108" s="149">
        <f t="shared" si="12"/>
        <v>25.831549227655085</v>
      </c>
      <c r="AT108" s="150">
        <f t="shared" si="13"/>
        <v>2.5102709232014271</v>
      </c>
      <c r="AU108" s="151">
        <f t="shared" si="14"/>
        <v>2.4440843982471892E-5</v>
      </c>
      <c r="AV108" s="151">
        <f t="shared" si="15"/>
        <v>4.9132490530877185E-5</v>
      </c>
      <c r="AW108" s="152">
        <f t="shared" si="16"/>
        <v>1610.7697905675182</v>
      </c>
      <c r="AX108" s="153">
        <f t="shared" si="17"/>
        <v>3.9732555437019375E-2</v>
      </c>
      <c r="AY108" s="154">
        <f t="shared" si="18"/>
        <v>1.9726114542182199E-3</v>
      </c>
      <c r="AZ108" s="155">
        <f t="shared" si="19"/>
        <v>0.71598020438718935</v>
      </c>
      <c r="BA108" s="154">
        <f t="shared" si="20"/>
        <v>8.3438784284080775E-2</v>
      </c>
      <c r="BB108" s="154">
        <f t="shared" si="41"/>
        <v>0.9125710749205711</v>
      </c>
      <c r="BC108" s="154">
        <f t="shared" si="42"/>
        <v>0.61287698920080125</v>
      </c>
      <c r="BI108" s="154">
        <f t="shared" si="21"/>
        <v>21.090954162909487</v>
      </c>
      <c r="BJ108" s="154">
        <f t="shared" si="22"/>
        <v>15.374259505177482</v>
      </c>
      <c r="BK108" s="157">
        <f t="shared" si="23"/>
        <v>32.666377549625359</v>
      </c>
      <c r="BL108" s="158">
        <f t="shared" si="24"/>
        <v>41.213923803732875</v>
      </c>
      <c r="BM108" s="162">
        <f t="shared" si="43"/>
        <v>51.884983807777232</v>
      </c>
      <c r="BN108" s="159">
        <f>SUM(AJ85:AJ111)*1000</f>
        <v>1.9198162851272298</v>
      </c>
      <c r="BO108" s="157">
        <f t="shared" si="25"/>
        <v>2.5420336454006942</v>
      </c>
      <c r="BP108" s="143">
        <f t="shared" si="26"/>
        <v>1062.0173309390038</v>
      </c>
      <c r="BQ108" s="157">
        <f t="shared" si="27"/>
        <v>32.620361689847257</v>
      </c>
      <c r="BR108" s="158">
        <f t="shared" si="28"/>
        <v>41.055582317862381</v>
      </c>
      <c r="BS108" s="96">
        <f t="shared" si="29"/>
        <v>51.884983807777232</v>
      </c>
      <c r="BT108" s="96">
        <f t="shared" si="30"/>
        <v>1.9198162851272298</v>
      </c>
      <c r="BU108" s="160">
        <f t="shared" si="31"/>
        <v>2.5161571683163171</v>
      </c>
      <c r="BW108" s="108"/>
      <c r="BX108" s="108"/>
      <c r="BY108" s="1"/>
    </row>
    <row r="109" spans="1:77" ht="12" customHeight="1" x14ac:dyDescent="0.2">
      <c r="A109" s="90">
        <f t="shared" si="44"/>
        <v>24</v>
      </c>
      <c r="B109" s="141">
        <f t="shared" si="32"/>
        <v>157.16412380339625</v>
      </c>
      <c r="C109" s="141">
        <f t="shared" si="33"/>
        <v>20.400330637533088</v>
      </c>
      <c r="D109" s="141">
        <f t="shared" si="34"/>
        <v>164.18772921830595</v>
      </c>
      <c r="E109" s="142">
        <f t="shared" si="5"/>
        <v>0.1373696027585497</v>
      </c>
      <c r="F109" s="144">
        <f t="shared" si="35"/>
        <v>2.3548434193642583E-3</v>
      </c>
      <c r="G109" s="145">
        <f t="shared" si="36"/>
        <v>1333.7721905933879</v>
      </c>
      <c r="H109" s="141">
        <f t="shared" si="45"/>
        <v>1446.9690340184807</v>
      </c>
      <c r="I109" s="142">
        <f t="shared" si="6"/>
        <v>3.8577792281561463</v>
      </c>
      <c r="J109" s="142">
        <f t="shared" si="7"/>
        <v>2.3048520883133625E-2</v>
      </c>
      <c r="K109" s="142">
        <f t="shared" si="8"/>
        <v>1.9882354725245421E-2</v>
      </c>
      <c r="L109" s="142">
        <f t="shared" si="9"/>
        <v>3.166166157888204E-3</v>
      </c>
      <c r="M109" s="146">
        <f t="shared" si="37"/>
        <v>1.1036541449126575E-3</v>
      </c>
      <c r="N109" s="146">
        <f t="shared" si="46"/>
        <v>1.8046477722162879E-6</v>
      </c>
      <c r="O109" s="146">
        <f t="shared" si="47"/>
        <v>1.433248619506778E-5</v>
      </c>
      <c r="P109" s="146">
        <f t="shared" si="48"/>
        <v>2.8128247967706375E-5</v>
      </c>
      <c r="Q109" s="146">
        <f t="shared" si="49"/>
        <v>4.0945199650685221E-5</v>
      </c>
      <c r="R109" s="146">
        <f t="shared" si="50"/>
        <v>5.249452917145978E-5</v>
      </c>
      <c r="S109" s="146">
        <f t="shared" si="51"/>
        <v>6.2649805377500316E-5</v>
      </c>
      <c r="T109" s="146">
        <f t="shared" si="52"/>
        <v>7.1418082381649272E-5</v>
      </c>
      <c r="U109" s="146">
        <f t="shared" si="53"/>
        <v>7.8895168990156513E-5</v>
      </c>
      <c r="V109" s="146">
        <f t="shared" si="54"/>
        <v>8.5223177603929034E-5</v>
      </c>
      <c r="W109" s="146">
        <f t="shared" si="55"/>
        <v>9.0558987988038464E-5</v>
      </c>
      <c r="X109" s="146">
        <f t="shared" si="56"/>
        <v>9.505472291634216E-5</v>
      </c>
      <c r="Y109" s="146">
        <f t="shared" si="57"/>
        <v>9.8847732663726045E-5</v>
      </c>
      <c r="Z109" s="146">
        <f t="shared" si="58"/>
        <v>1.0205684649607935E-4</v>
      </c>
      <c r="AA109" s="146">
        <f t="shared" si="59"/>
        <v>1.0478221162915445E-4</v>
      </c>
      <c r="AB109" s="146">
        <f t="shared" si="60"/>
        <v>1.0710689951119703E-4</v>
      </c>
      <c r="AC109" s="146">
        <f t="shared" si="61"/>
        <v>1.0909918962802812E-4</v>
      </c>
      <c r="AD109" s="146">
        <f t="shared" si="62"/>
        <v>1.108149444403348E-4</v>
      </c>
      <c r="AE109" s="146">
        <f t="shared" si="63"/>
        <v>1.1229979696720949E-4</v>
      </c>
      <c r="AF109" s="146">
        <f t="shared" si="64"/>
        <v>1.1359104498614062E-4</v>
      </c>
      <c r="AG109" s="146">
        <f>$L109*($D$105/$D109-$D$104/$D109)</f>
        <v>1.1471923461147146E-4</v>
      </c>
      <c r="AH109" s="146">
        <f>$L109*($D$106/$D109-$D$105/$D109)</f>
        <v>1.1570945696798458E-4</v>
      </c>
      <c r="AI109" s="146">
        <f>$L109*($D$107/$D109-$D$106/$D109)</f>
        <v>1.1658239699994314E-4</v>
      </c>
      <c r="AJ109" s="146">
        <f>$L109-SUM(M109:AI109)</f>
        <v>2.3539720205952583E-4</v>
      </c>
      <c r="AK109" s="146">
        <v>0</v>
      </c>
      <c r="AL109" s="146">
        <v>0</v>
      </c>
      <c r="AM109" s="161">
        <f t="shared" si="38"/>
        <v>6.5485051584748535E-3</v>
      </c>
      <c r="AN109" s="26">
        <f t="shared" si="39"/>
        <v>0.15716412380339626</v>
      </c>
      <c r="AO109" s="118">
        <v>0</v>
      </c>
      <c r="AP109" s="118">
        <f t="shared" si="10"/>
        <v>2.270838364540883E-3</v>
      </c>
      <c r="AQ109" s="147">
        <f t="shared" si="40"/>
        <v>1060.7721905933879</v>
      </c>
      <c r="AR109" s="148">
        <f t="shared" si="11"/>
        <v>0.27583449596153287</v>
      </c>
      <c r="AS109" s="149">
        <f t="shared" si="12"/>
        <v>25.793694183125307</v>
      </c>
      <c r="AT109" s="150">
        <f t="shared" si="13"/>
        <v>2.5065922271719274</v>
      </c>
      <c r="AU109" s="151">
        <f t="shared" si="14"/>
        <v>2.4440843982471892E-5</v>
      </c>
      <c r="AV109" s="151">
        <f t="shared" si="15"/>
        <v>4.9083589819491666E-5</v>
      </c>
      <c r="AW109" s="152">
        <f t="shared" si="16"/>
        <v>1612.374558860276</v>
      </c>
      <c r="AX109" s="153">
        <f t="shared" si="17"/>
        <v>3.9693010317180318E-2</v>
      </c>
      <c r="AY109" s="154">
        <f t="shared" si="18"/>
        <v>1.9677602467816162E-3</v>
      </c>
      <c r="AZ109" s="155">
        <f t="shared" si="19"/>
        <v>0.71594832831053645</v>
      </c>
      <c r="BA109" s="154">
        <f t="shared" si="20"/>
        <v>8.3312802810820333E-2</v>
      </c>
      <c r="BB109" s="154">
        <f t="shared" si="41"/>
        <v>0.89971626165866725</v>
      </c>
      <c r="BC109" s="154">
        <f t="shared" si="42"/>
        <v>0.60405555663488186</v>
      </c>
      <c r="BI109" s="154">
        <f t="shared" si="21"/>
        <v>20.791075631398371</v>
      </c>
      <c r="BJ109" s="154">
        <f t="shared" si="22"/>
        <v>15.132779892756378</v>
      </c>
      <c r="BK109" s="157">
        <f t="shared" si="23"/>
        <v>32.0636309210729</v>
      </c>
      <c r="BL109" s="158">
        <f t="shared" si="24"/>
        <v>40.900902401598543</v>
      </c>
      <c r="BM109" s="162">
        <f t="shared" si="43"/>
        <v>51.884983807777232</v>
      </c>
      <c r="BN109" s="159">
        <f>SUM(AK85:AK111)*1000</f>
        <v>1.8007652183830389</v>
      </c>
      <c r="BO109" s="157">
        <f t="shared" si="25"/>
        <v>2.441150419526124</v>
      </c>
      <c r="BP109" s="143">
        <f t="shared" si="26"/>
        <v>1059.5516153836249</v>
      </c>
      <c r="BQ109" s="157">
        <f t="shared" si="27"/>
        <v>32.020135324165295</v>
      </c>
      <c r="BR109" s="158">
        <f t="shared" si="28"/>
        <v>40.749694020517552</v>
      </c>
      <c r="BS109" s="96">
        <f t="shared" si="29"/>
        <v>51.884983807777232</v>
      </c>
      <c r="BT109" s="96">
        <f t="shared" si="30"/>
        <v>1.8007652183830389</v>
      </c>
      <c r="BU109" s="160">
        <f t="shared" si="31"/>
        <v>2.4164962872820968</v>
      </c>
      <c r="BW109" s="108"/>
      <c r="BX109" s="108"/>
      <c r="BY109" s="1"/>
    </row>
    <row r="110" spans="1:77" ht="12" customHeight="1" x14ac:dyDescent="0.2">
      <c r="A110" s="90">
        <f t="shared" si="44"/>
        <v>25</v>
      </c>
      <c r="B110" s="141">
        <f t="shared" si="32"/>
        <v>163.7126289618711</v>
      </c>
      <c r="C110" s="141">
        <f t="shared" si="33"/>
        <v>19.632512440314713</v>
      </c>
      <c r="D110" s="141">
        <f t="shared" si="34"/>
        <v>170.34080713901528</v>
      </c>
      <c r="E110" s="142">
        <f t="shared" si="5"/>
        <v>0.14213344888769408</v>
      </c>
      <c r="F110" s="144">
        <f t="shared" si="35"/>
        <v>2.3548434193642583E-3</v>
      </c>
      <c r="G110" s="145">
        <f t="shared" si="36"/>
        <v>1331.3556943061058</v>
      </c>
      <c r="H110" s="141">
        <f t="shared" si="45"/>
        <v>1446.9690340184807</v>
      </c>
      <c r="I110" s="142">
        <f t="shared" si="6"/>
        <v>3.4715512025257613</v>
      </c>
      <c r="J110" s="142">
        <f t="shared" si="7"/>
        <v>2.0740979630015269E-2</v>
      </c>
      <c r="K110" s="142">
        <f t="shared" si="8"/>
        <v>1.7792992661891788E-2</v>
      </c>
      <c r="L110" s="142">
        <f t="shared" si="9"/>
        <v>2.9479869681234804E-3</v>
      </c>
      <c r="M110" s="146">
        <f t="shared" si="37"/>
        <v>9.9048260122229915E-4</v>
      </c>
      <c r="N110" s="146">
        <f t="shared" si="46"/>
        <v>1.6195945332639938E-6</v>
      </c>
      <c r="O110" s="146">
        <f t="shared" si="47"/>
        <v>1.286279607965133E-5</v>
      </c>
      <c r="P110" s="146">
        <f t="shared" si="48"/>
        <v>2.5243904844016499E-5</v>
      </c>
      <c r="Q110" s="146">
        <f t="shared" si="49"/>
        <v>3.674657323086187E-5</v>
      </c>
      <c r="R110" s="146">
        <f t="shared" si="50"/>
        <v>4.711160470275961E-5</v>
      </c>
      <c r="S110" s="146">
        <f t="shared" si="51"/>
        <v>5.622553268378117E-5</v>
      </c>
      <c r="T110" s="146">
        <f t="shared" si="52"/>
        <v>6.4094687939836973E-5</v>
      </c>
      <c r="U110" s="146">
        <f t="shared" si="53"/>
        <v>7.0805054794976103E-5</v>
      </c>
      <c r="V110" s="146">
        <f t="shared" si="54"/>
        <v>7.6484173077834964E-5</v>
      </c>
      <c r="W110" s="146">
        <f t="shared" si="55"/>
        <v>8.1272835697590614E-5</v>
      </c>
      <c r="X110" s="146">
        <f t="shared" si="56"/>
        <v>8.5307566366358748E-5</v>
      </c>
      <c r="Y110" s="146">
        <f t="shared" si="57"/>
        <v>8.8711631107444365E-5</v>
      </c>
      <c r="Z110" s="146">
        <f t="shared" si="58"/>
        <v>9.1591674127207477E-5</v>
      </c>
      <c r="AA110" s="146">
        <f t="shared" si="59"/>
        <v>9.4037573287493603E-5</v>
      </c>
      <c r="AB110" s="146">
        <f t="shared" si="60"/>
        <v>9.6123881675904622E-5</v>
      </c>
      <c r="AC110" s="146">
        <f t="shared" si="61"/>
        <v>9.7911877223607886E-5</v>
      </c>
      <c r="AD110" s="146">
        <f t="shared" si="62"/>
        <v>9.9451694110435341E-5</v>
      </c>
      <c r="AE110" s="146">
        <f t="shared" si="63"/>
        <v>1.007842860279568E-4</v>
      </c>
      <c r="AF110" s="146">
        <f t="shared" si="64"/>
        <v>1.0194312614332236E-4</v>
      </c>
      <c r="AG110" s="146">
        <f>$L110*($D$105/$D110-$D$104/$D110)</f>
        <v>1.0295562829349406E-4</v>
      </c>
      <c r="AH110" s="146">
        <f>$L110*($D$106/$D110-$D$105/$D110)</f>
        <v>1.0384431069457836E-4</v>
      </c>
      <c r="AI110" s="146">
        <f>$L110*($D$107/$D110-$D$106/$D110)</f>
        <v>1.0462773720328184E-4</v>
      </c>
      <c r="AJ110" s="146">
        <f>$L110*($D$108/$D110-$D$107/$D110)</f>
        <v>1.0532127343613905E-4</v>
      </c>
      <c r="AK110" s="146">
        <f>$L110-SUM(M110:AJ110)</f>
        <v>2.1242534961938338E-4</v>
      </c>
      <c r="AL110" s="146">
        <v>0</v>
      </c>
      <c r="AM110" s="161">
        <f t="shared" si="38"/>
        <v>6.5485051584748535E-3</v>
      </c>
      <c r="AN110" s="26">
        <f t="shared" si="39"/>
        <v>0.16371262896187111</v>
      </c>
      <c r="AO110" s="118">
        <v>0</v>
      </c>
      <c r="AP110" s="118">
        <f t="shared" si="10"/>
        <v>2.2686607352609728E-3</v>
      </c>
      <c r="AQ110" s="147">
        <f t="shared" si="40"/>
        <v>1058.3556943061058</v>
      </c>
      <c r="AR110" s="148">
        <f t="shared" si="11"/>
        <v>0.2762241731339059</v>
      </c>
      <c r="AS110" s="149">
        <f t="shared" si="12"/>
        <v>25.757306296792628</v>
      </c>
      <c r="AT110" s="150">
        <f t="shared" si="13"/>
        <v>2.5030561073591877</v>
      </c>
      <c r="AU110" s="151">
        <f t="shared" si="14"/>
        <v>2.4440843982471892E-5</v>
      </c>
      <c r="AV110" s="151">
        <f t="shared" si="15"/>
        <v>4.9036520920171029E-5</v>
      </c>
      <c r="AW110" s="152">
        <f t="shared" si="16"/>
        <v>1613.9222358641503</v>
      </c>
      <c r="AX110" s="153">
        <f t="shared" si="17"/>
        <v>3.9654946550589015E-2</v>
      </c>
      <c r="AY110" s="154">
        <f t="shared" si="18"/>
        <v>1.9630999430163107E-3</v>
      </c>
      <c r="AZ110" s="155">
        <f t="shared" si="19"/>
        <v>0.71591611730737836</v>
      </c>
      <c r="BA110" s="154">
        <f t="shared" si="20"/>
        <v>8.31918112582124E-2</v>
      </c>
      <c r="BB110" s="154">
        <f t="shared" si="41"/>
        <v>0.88755645526690596</v>
      </c>
      <c r="BC110" s="154">
        <f t="shared" si="42"/>
        <v>0.59572110186463201</v>
      </c>
      <c r="BI110" s="154">
        <f t="shared" si="21"/>
        <v>20.507706813947433</v>
      </c>
      <c r="BJ110" s="154">
        <f t="shared" si="22"/>
        <v>14.904852811444721</v>
      </c>
      <c r="BK110" s="157">
        <f t="shared" si="23"/>
        <v>31.495878926132171</v>
      </c>
      <c r="BL110" s="158">
        <f t="shared" si="24"/>
        <v>40.601942318246564</v>
      </c>
      <c r="BM110" s="162">
        <f t="shared" si="43"/>
        <v>51.884983807777232</v>
      </c>
      <c r="BN110" s="159">
        <f>SUM(AL85:AL111)*1000</f>
        <v>-0.12327785041827549</v>
      </c>
      <c r="BO110" s="157">
        <f t="shared" si="25"/>
        <v>2.5750335498812449</v>
      </c>
      <c r="BP110" s="143">
        <f t="shared" si="26"/>
        <v>1057.0681775311652</v>
      </c>
      <c r="BQ110" s="157">
        <f t="shared" si="27"/>
        <v>31.45068889685982</v>
      </c>
      <c r="BR110" s="158">
        <f t="shared" si="28"/>
        <v>40.443318756040782</v>
      </c>
      <c r="BS110" s="96">
        <f t="shared" si="29"/>
        <v>51.884983807777232</v>
      </c>
      <c r="BT110" s="96">
        <f t="shared" si="30"/>
        <v>-0.12327785041827549</v>
      </c>
      <c r="BU110" s="160">
        <f t="shared" si="31"/>
        <v>2.5492259249454743</v>
      </c>
      <c r="BW110" s="108"/>
      <c r="BX110" s="108"/>
      <c r="BY110" s="1"/>
    </row>
    <row r="111" spans="1:77" ht="12" customHeight="1" x14ac:dyDescent="0.2">
      <c r="A111" s="90" t="s">
        <v>289</v>
      </c>
      <c r="B111" s="141">
        <f>B110</f>
        <v>163.7126289618711</v>
      </c>
      <c r="C111" s="141">
        <v>0</v>
      </c>
      <c r="D111" s="141">
        <f>B111</f>
        <v>163.7126289618711</v>
      </c>
      <c r="E111" s="142">
        <f t="shared" si="5"/>
        <v>0.13700067155783802</v>
      </c>
      <c r="F111" s="144">
        <f>B75^2*PI()/4/1000000</f>
        <v>1.0290343161331487E-2</v>
      </c>
      <c r="G111" s="145">
        <f t="shared" si="36"/>
        <v>1328.8064683811604</v>
      </c>
      <c r="H111" s="141">
        <f>H95</f>
        <v>1446.9690340184807</v>
      </c>
      <c r="I111" s="142">
        <f>COS(C111*PI()/180)*COS((C111)*PI()/180)/PI()/D111^2*1000000</f>
        <v>11.876425862413216</v>
      </c>
      <c r="J111" s="142">
        <f t="shared" si="7"/>
        <v>0.31006966127025432</v>
      </c>
      <c r="K111" s="142">
        <f t="shared" si="8"/>
        <v>0.26758990944651811</v>
      </c>
      <c r="L111" s="142">
        <f t="shared" si="9"/>
        <v>4.24797518237362E-2</v>
      </c>
      <c r="M111" s="146">
        <f t="shared" si="37"/>
        <v>1.4850455706051344E-2</v>
      </c>
      <c r="N111" s="146">
        <f t="shared" si="46"/>
        <v>2.4282826218572897E-5</v>
      </c>
      <c r="O111" s="146">
        <f t="shared" si="47"/>
        <v>1.9285385043725791E-4</v>
      </c>
      <c r="P111" s="146">
        <f t="shared" si="48"/>
        <v>3.7848568997700746E-4</v>
      </c>
      <c r="Q111" s="146">
        <f t="shared" si="49"/>
        <v>5.5094693984595526E-4</v>
      </c>
      <c r="R111" s="146">
        <f t="shared" si="50"/>
        <v>7.0635142708812563E-4</v>
      </c>
      <c r="S111" s="146">
        <f t="shared" si="51"/>
        <v>8.4299793013955073E-4</v>
      </c>
      <c r="T111" s="146">
        <f t="shared" si="52"/>
        <v>9.6098136713267449E-4</v>
      </c>
      <c r="U111" s="146">
        <f t="shared" si="53"/>
        <v>1.0615909140652725E-3</v>
      </c>
      <c r="V111" s="146">
        <f t="shared" si="54"/>
        <v>1.1467387949113839E-3</v>
      </c>
      <c r="W111" s="146">
        <f t="shared" si="55"/>
        <v>1.2185359390895374E-3</v>
      </c>
      <c r="X111" s="146">
        <f t="shared" si="56"/>
        <v>1.279029267299887E-3</v>
      </c>
      <c r="Y111" s="146">
        <f t="shared" si="57"/>
        <v>1.3300669257056428E-3</v>
      </c>
      <c r="Z111" s="146">
        <f t="shared" si="58"/>
        <v>1.373247847050173E-3</v>
      </c>
      <c r="AA111" s="146">
        <f t="shared" si="59"/>
        <v>1.4099195837333682E-3</v>
      </c>
      <c r="AB111" s="146">
        <f t="shared" si="60"/>
        <v>1.4411999214929759E-3</v>
      </c>
      <c r="AC111" s="146">
        <f t="shared" si="61"/>
        <v>1.468007609635122E-3</v>
      </c>
      <c r="AD111" s="146">
        <f t="shared" si="62"/>
        <v>1.4910943175137309E-3</v>
      </c>
      <c r="AE111" s="146">
        <f t="shared" si="63"/>
        <v>1.5110740700313152E-3</v>
      </c>
      <c r="AF111" s="146">
        <f t="shared" si="64"/>
        <v>1.5284487354544076E-3</v>
      </c>
      <c r="AG111" s="146">
        <f>$L111*($D$105/$D111-$D$104/$D111)</f>
        <v>1.5436293335939905E-3</v>
      </c>
      <c r="AH111" s="146">
        <f>$L111*($D$106/$D111-$D$105/$D111)</f>
        <v>1.5569534834758369E-3</v>
      </c>
      <c r="AI111" s="146">
        <f>$L111*($D$107/$D111-$D$106/$D111)</f>
        <v>1.5686995158161281E-3</v>
      </c>
      <c r="AJ111" s="146">
        <f>$L111*($D$108/$D111-$D$107/$D111)</f>
        <v>1.5790978096315649E-3</v>
      </c>
      <c r="AK111" s="146">
        <f>$L111*($D$109/$D111-$D$108/$D111)</f>
        <v>1.5883398687636554E-3</v>
      </c>
      <c r="AL111" s="146">
        <f>$L111-SUM(M111:AK111)</f>
        <v>-1.2327785041827549E-4</v>
      </c>
      <c r="AM111" s="161">
        <v>0</v>
      </c>
      <c r="AN111" s="26">
        <f t="shared" si="39"/>
        <v>0.16371262896187111</v>
      </c>
      <c r="AO111" s="118">
        <v>1</v>
      </c>
      <c r="AP111" s="118">
        <f t="shared" si="10"/>
        <v>1</v>
      </c>
      <c r="AQ111" s="147">
        <f t="shared" si="40"/>
        <v>1055.8064683811604</v>
      </c>
      <c r="AR111" s="148">
        <f t="shared" si="11"/>
        <v>0.2766368182958594</v>
      </c>
      <c r="AS111" s="149">
        <f t="shared" si="12"/>
        <v>25.718885424640465</v>
      </c>
      <c r="AT111" s="150">
        <f t="shared" si="13"/>
        <v>2.4993224250562944</v>
      </c>
      <c r="AU111" s="151">
        <f t="shared" si="14"/>
        <v>2.4440843982471892E-5</v>
      </c>
      <c r="AV111" s="151">
        <f t="shared" si="15"/>
        <v>4.8986755112574629E-5</v>
      </c>
      <c r="AW111" s="152">
        <f t="shared" si="16"/>
        <v>1615.5618248363326</v>
      </c>
      <c r="AX111" s="153">
        <f t="shared" si="17"/>
        <v>3.9614701843108752E-2</v>
      </c>
      <c r="AY111" s="154">
        <f t="shared" si="18"/>
        <v>0.86402151523616244</v>
      </c>
      <c r="AZ111" s="155">
        <f t="shared" si="19"/>
        <v>0.71588045194613203</v>
      </c>
      <c r="BA111" s="154">
        <f t="shared" si="20"/>
        <v>8.3064174065376306E-2</v>
      </c>
      <c r="BB111" s="154"/>
      <c r="BC111" s="154"/>
      <c r="BI111" s="154">
        <f t="shared" si="21"/>
        <v>0</v>
      </c>
      <c r="BJ111" s="154">
        <f t="shared" si="22"/>
        <v>0</v>
      </c>
      <c r="BK111" s="157">
        <f t="shared" si="23"/>
        <v>0</v>
      </c>
      <c r="BL111" s="158">
        <f t="shared" si="24"/>
        <v>176.0544436897504</v>
      </c>
      <c r="BM111" s="162">
        <v>0</v>
      </c>
      <c r="BN111" s="159">
        <v>0</v>
      </c>
      <c r="BO111" s="157">
        <f t="shared" si="25"/>
        <v>22.292659768512884</v>
      </c>
      <c r="BP111" s="143">
        <f t="shared" si="26"/>
        <v>1044.660138496904</v>
      </c>
      <c r="BQ111" s="157">
        <f t="shared" si="27"/>
        <v>0</v>
      </c>
      <c r="BR111" s="158">
        <f t="shared" si="28"/>
        <v>170.1540738940424</v>
      </c>
      <c r="BS111" s="96">
        <f t="shared" si="29"/>
        <v>0</v>
      </c>
      <c r="BT111" s="96">
        <f t="shared" si="30"/>
        <v>0</v>
      </c>
      <c r="BU111" s="160">
        <f t="shared" si="31"/>
        <v>21.545533291001618</v>
      </c>
      <c r="BW111" s="108"/>
      <c r="BX111" s="108"/>
      <c r="BY111" s="1"/>
    </row>
    <row r="112" spans="1:77" ht="12" customHeight="1" x14ac:dyDescent="0.2">
      <c r="A112" s="90" t="s">
        <v>290</v>
      </c>
      <c r="B112" s="141"/>
      <c r="C112" s="141"/>
      <c r="D112" s="141"/>
      <c r="E112" s="142"/>
      <c r="F112" s="144">
        <f>(B59*2*B61*B62/1000000)</f>
        <v>6.3499999999999999E-5</v>
      </c>
      <c r="G112" s="145" t="s">
        <v>291</v>
      </c>
      <c r="H112" s="141" t="s">
        <v>291</v>
      </c>
      <c r="I112" s="141" t="s">
        <v>291</v>
      </c>
      <c r="J112" s="141"/>
      <c r="K112" s="142">
        <f>-K111*F112/F111</f>
        <v>-1.6512529255297719E-3</v>
      </c>
      <c r="L112" s="142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46"/>
      <c r="AF112" s="146"/>
      <c r="AG112" s="146"/>
      <c r="AH112" s="146"/>
      <c r="AI112" s="146"/>
      <c r="AJ112" s="146"/>
      <c r="AK112" s="146"/>
      <c r="AL112" s="146"/>
      <c r="AM112" s="1"/>
      <c r="AN112" s="1"/>
      <c r="AO112" s="1"/>
      <c r="AP112" s="1"/>
      <c r="AQ112" s="1"/>
      <c r="AR112" s="1"/>
      <c r="AS112" s="163"/>
      <c r="AT112" s="119"/>
      <c r="AU112" s="1"/>
      <c r="AV112" s="37"/>
      <c r="AW112" s="1"/>
      <c r="AX112" s="1"/>
      <c r="AY112" s="108"/>
      <c r="AZ112" s="1"/>
      <c r="BA112" s="164"/>
      <c r="BB112" s="1"/>
      <c r="BC112" s="1"/>
      <c r="BI112" s="1"/>
      <c r="BJ112" s="1"/>
      <c r="BK112" s="1"/>
      <c r="BL112" s="1"/>
      <c r="BM112" s="120"/>
      <c r="BN112" s="165"/>
      <c r="BP112" s="166"/>
      <c r="BQ112" s="167">
        <f>SUM(BQ85:BQ111)</f>
        <v>1285.5149400546702</v>
      </c>
      <c r="BR112" s="37">
        <f>SUM(BR85:BR111)</f>
        <v>1325.4503063594727</v>
      </c>
      <c r="BS112" s="168"/>
      <c r="BT112" s="169"/>
      <c r="BU112" s="170"/>
      <c r="BW112" s="14"/>
      <c r="BX112" s="14"/>
      <c r="BY112" s="1"/>
    </row>
    <row r="113" spans="1:77" ht="12" customHeight="1" x14ac:dyDescent="0.2">
      <c r="A113" s="90"/>
      <c r="B113" s="97"/>
      <c r="C113" s="97"/>
      <c r="D113" s="105"/>
      <c r="E113" s="171"/>
      <c r="F113" s="103"/>
      <c r="G113" s="145">
        <f>G111-BU111</f>
        <v>1307.2609350901587</v>
      </c>
      <c r="J113" s="172"/>
      <c r="K113" s="172"/>
      <c r="L113" s="173"/>
      <c r="M113" s="174"/>
      <c r="N113" s="174"/>
      <c r="O113" s="174"/>
      <c r="P113" s="174"/>
      <c r="Q113" s="174"/>
      <c r="R113" s="174"/>
      <c r="S113" s="174"/>
      <c r="T113" s="174"/>
      <c r="U113" s="174"/>
      <c r="V113" s="174"/>
      <c r="W113" s="174"/>
      <c r="X113" s="174"/>
      <c r="Y113" s="174"/>
      <c r="Z113" s="174"/>
      <c r="AA113" s="174"/>
      <c r="AB113" s="174"/>
      <c r="AC113" s="174"/>
      <c r="AD113" s="174"/>
      <c r="AE113" s="174"/>
      <c r="AF113" s="174"/>
      <c r="AG113" s="174"/>
      <c r="AH113" s="174"/>
      <c r="AI113" s="174"/>
      <c r="AJ113" s="174"/>
      <c r="AK113" s="174"/>
      <c r="AL113" s="174"/>
      <c r="AM113" s="128"/>
      <c r="AN113" s="1"/>
      <c r="AO113" s="12"/>
      <c r="AP113" s="1"/>
      <c r="AQ113" s="1"/>
      <c r="AR113" s="37"/>
      <c r="AS113" s="1"/>
      <c r="AT113" s="1"/>
      <c r="AU113" s="1"/>
      <c r="BA113" s="1"/>
      <c r="BB113" s="1"/>
      <c r="BC113" s="1"/>
      <c r="BD113" s="1"/>
      <c r="BE113" s="1"/>
      <c r="BF113" s="1"/>
      <c r="BG113" s="1"/>
      <c r="BH113" s="1"/>
      <c r="BI113" s="165"/>
      <c r="BJ113" s="1"/>
      <c r="BK113" s="1"/>
      <c r="BL113" s="1"/>
      <c r="BM113" s="1"/>
      <c r="BN113" s="1"/>
      <c r="BO113" s="1"/>
      <c r="BP113" s="38"/>
      <c r="BQ113" s="1"/>
      <c r="BR113" s="1"/>
      <c r="BW113" s="1"/>
      <c r="BX113" s="1"/>
      <c r="BY113" s="1"/>
    </row>
    <row r="114" spans="1:77" ht="12" customHeight="1" x14ac:dyDescent="0.2">
      <c r="A114" s="90" t="s">
        <v>292</v>
      </c>
      <c r="B114" s="97"/>
      <c r="C114" s="97"/>
      <c r="D114" s="97"/>
      <c r="E114" s="97"/>
      <c r="F114" s="103"/>
      <c r="G114" s="101"/>
      <c r="K114" s="173"/>
      <c r="L114" s="1"/>
      <c r="M114" s="95"/>
      <c r="N114" s="1"/>
      <c r="O114" s="1"/>
      <c r="P114" s="1"/>
      <c r="Q114" s="1"/>
      <c r="R114" s="1"/>
      <c r="T114" s="14"/>
      <c r="U114" s="175"/>
      <c r="V114" s="119"/>
      <c r="W114" s="14"/>
      <c r="X114" s="14"/>
      <c r="Y114" s="175"/>
      <c r="Z114" s="102"/>
      <c r="AA114" s="14"/>
      <c r="AB114" s="119"/>
      <c r="AC114" s="176"/>
      <c r="AD114" s="14"/>
      <c r="AE114" s="14"/>
      <c r="AM114" s="1"/>
      <c r="AN114" s="1"/>
      <c r="AO114" s="1"/>
      <c r="AP114" s="99"/>
      <c r="AQ114" s="1"/>
      <c r="AR114" s="1"/>
      <c r="AS114" s="1"/>
      <c r="AT114" s="1"/>
      <c r="AU114" s="1"/>
      <c r="BA114" s="1"/>
      <c r="BB114" s="1"/>
      <c r="BC114" s="1"/>
      <c r="BD114" s="1"/>
      <c r="BE114" s="1"/>
      <c r="BF114" s="1"/>
      <c r="BG114" s="1"/>
      <c r="BH114" s="1"/>
      <c r="BI114" s="168"/>
      <c r="BJ114" s="1"/>
      <c r="BK114" s="1"/>
      <c r="BL114" s="1"/>
      <c r="BM114" s="1"/>
      <c r="BN114" s="1"/>
      <c r="BO114" s="1"/>
      <c r="BP114" s="38"/>
      <c r="BQ114" s="1"/>
      <c r="BR114" s="1"/>
      <c r="BW114" s="1"/>
      <c r="BX114" s="1"/>
      <c r="BY114" s="1"/>
    </row>
    <row r="115" spans="1:77" ht="12" customHeight="1" x14ac:dyDescent="0.2">
      <c r="A115" s="90" t="s">
        <v>293</v>
      </c>
      <c r="B115" s="93"/>
      <c r="C115" s="114">
        <f>G113</f>
        <v>1307.2609350901587</v>
      </c>
      <c r="D115" s="93" t="s">
        <v>168</v>
      </c>
      <c r="E115" s="97"/>
      <c r="F115" s="97"/>
      <c r="G115" s="101"/>
      <c r="H115" s="175"/>
      <c r="I115" s="119"/>
      <c r="J115" s="14"/>
      <c r="L115" s="174"/>
      <c r="M115" s="177"/>
      <c r="N115" s="1"/>
      <c r="O115" s="1"/>
      <c r="P115" s="1"/>
      <c r="Q115" s="1"/>
      <c r="R115" s="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Q115" s="1"/>
      <c r="AR115" s="1"/>
      <c r="AS115" s="26"/>
      <c r="AT115" s="1"/>
      <c r="AU115" s="1"/>
      <c r="AV115" s="1"/>
      <c r="AW115" s="1"/>
      <c r="AX115" s="1"/>
      <c r="AY115" s="1"/>
      <c r="BE115" s="1"/>
      <c r="BF115" s="1"/>
      <c r="BG115" s="1"/>
      <c r="BH115" s="1"/>
      <c r="BI115" s="1"/>
      <c r="BJ115" s="1"/>
      <c r="BK115" s="1"/>
      <c r="BL115" s="1"/>
      <c r="BM115" s="168"/>
      <c r="BN115" s="1"/>
      <c r="BO115" s="1"/>
      <c r="BP115" s="38"/>
      <c r="BQ115" s="1"/>
      <c r="BR115" s="1"/>
      <c r="BS115" s="1"/>
      <c r="BT115" s="1"/>
      <c r="BU115" s="1"/>
      <c r="BV115" s="1"/>
      <c r="BW115" s="1"/>
      <c r="BX115" s="1"/>
      <c r="BY115" s="1"/>
    </row>
    <row r="116" spans="1:77" ht="12" customHeight="1" x14ac:dyDescent="0.2">
      <c r="A116" s="90" t="s">
        <v>293</v>
      </c>
      <c r="B116" s="114"/>
      <c r="C116" s="114">
        <f>C115-273</f>
        <v>1034.2609350901587</v>
      </c>
      <c r="D116" s="93" t="s">
        <v>13</v>
      </c>
      <c r="E116" s="101">
        <f>C116*1.8+32</f>
        <v>1893.6696831622858</v>
      </c>
      <c r="F116" s="93" t="s">
        <v>144</v>
      </c>
      <c r="G116" s="9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Q116" s="1"/>
      <c r="AR116" s="1"/>
      <c r="AS116" s="26"/>
      <c r="AT116" s="1"/>
      <c r="AU116" s="1"/>
      <c r="AV116" s="1"/>
      <c r="BE116" s="1"/>
      <c r="BF116" s="1"/>
      <c r="BG116" s="1"/>
      <c r="BJ116" s="26"/>
      <c r="BK116" s="1"/>
      <c r="BL116" s="1"/>
      <c r="BM116" s="1"/>
      <c r="BN116" s="1"/>
      <c r="BO116" s="1"/>
      <c r="BP116" s="38"/>
      <c r="BQ116" s="1"/>
      <c r="BR116" s="1"/>
      <c r="BS116" s="1"/>
      <c r="BT116" s="1"/>
      <c r="BU116" s="1"/>
      <c r="BV116" s="1"/>
      <c r="BW116" s="1"/>
      <c r="BX116" s="1"/>
      <c r="BY116" s="1"/>
    </row>
    <row r="117" spans="1:77" ht="12" customHeight="1" x14ac:dyDescent="0.2">
      <c r="A117" s="90" t="s">
        <v>294</v>
      </c>
      <c r="B117" s="97"/>
      <c r="C117" s="97"/>
      <c r="D117" s="97"/>
      <c r="E117" s="97"/>
      <c r="F117" s="97"/>
      <c r="G117" s="93"/>
      <c r="H117" s="1"/>
      <c r="M117" s="1"/>
      <c r="N117" s="1"/>
      <c r="O117" s="1"/>
      <c r="P117" s="1"/>
      <c r="Q117" s="1"/>
      <c r="R117" s="1"/>
      <c r="AQ117" s="1"/>
      <c r="AR117" s="1"/>
      <c r="AS117" s="26"/>
      <c r="AT117" s="1"/>
      <c r="AU117" s="1"/>
      <c r="AV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J117" s="37"/>
      <c r="BK117" s="1"/>
      <c r="BL117" s="1"/>
      <c r="BM117" s="1"/>
      <c r="BN117" s="1"/>
      <c r="BO117" s="1"/>
      <c r="BP117" s="38"/>
      <c r="BQ117" s="1"/>
      <c r="BR117" s="1"/>
      <c r="BS117" s="1"/>
      <c r="BT117" s="1"/>
      <c r="BU117" s="1"/>
      <c r="BV117" s="1"/>
      <c r="BW117" s="1"/>
      <c r="BX117" s="1"/>
      <c r="BY117" s="1"/>
    </row>
    <row r="118" spans="1:77" ht="12" customHeight="1" x14ac:dyDescent="0.2">
      <c r="A118" s="90" t="s">
        <v>295</v>
      </c>
      <c r="B118" s="97"/>
      <c r="C118" s="96">
        <f>SUM(K85:K112)</f>
        <v>2.3616065709117344</v>
      </c>
      <c r="D118" s="93" t="s">
        <v>296</v>
      </c>
      <c r="E118" s="178">
        <f>C118/C121*100</f>
        <v>47.492658882938905</v>
      </c>
      <c r="F118" s="97" t="s">
        <v>18</v>
      </c>
      <c r="G118" s="93"/>
      <c r="H118" s="1"/>
      <c r="M118" s="1"/>
      <c r="N118" s="1"/>
      <c r="O118" s="1"/>
      <c r="P118" s="1"/>
      <c r="Q118" s="1"/>
      <c r="R118" s="1"/>
      <c r="AQ118" s="1"/>
      <c r="AR118" s="1"/>
      <c r="AS118" s="99"/>
      <c r="AT118" s="1"/>
      <c r="AU118" s="12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J118" s="26"/>
      <c r="BK118" s="1"/>
      <c r="BL118" s="1"/>
      <c r="BM118" s="1"/>
      <c r="BN118" s="1"/>
      <c r="BO118" s="1"/>
      <c r="BP118" s="38"/>
      <c r="BQ118" s="1"/>
      <c r="BR118" s="1"/>
      <c r="BS118" s="1"/>
      <c r="BT118" s="1"/>
      <c r="BU118" s="1"/>
      <c r="BV118" s="1"/>
      <c r="BW118" s="1"/>
      <c r="BX118" s="1"/>
      <c r="BY118" s="1"/>
    </row>
    <row r="119" spans="1:77" ht="12" customHeight="1" x14ac:dyDescent="0.2">
      <c r="A119" s="90" t="s">
        <v>297</v>
      </c>
      <c r="B119" s="97"/>
      <c r="C119" s="179">
        <f>SUM(BR85:BR111)/1000</f>
        <v>1.3254503063594727</v>
      </c>
      <c r="D119" s="93" t="s">
        <v>296</v>
      </c>
      <c r="E119" s="178">
        <f>C119/C121*100</f>
        <v>26.655227014343382</v>
      </c>
      <c r="F119" s="97" t="s">
        <v>18</v>
      </c>
      <c r="G119" s="93"/>
      <c r="H119" s="1"/>
      <c r="M119" s="1"/>
      <c r="N119" s="1"/>
      <c r="O119" s="1"/>
      <c r="P119" s="1"/>
      <c r="Q119" s="1"/>
      <c r="R119" s="1"/>
      <c r="AQ119" s="1"/>
      <c r="AV119" s="1"/>
      <c r="AW119" s="1"/>
      <c r="AX119" s="1"/>
      <c r="AY119" s="37"/>
      <c r="AZ119" s="1"/>
      <c r="BA119" s="1"/>
      <c r="BB119" s="1"/>
      <c r="BC119" s="1"/>
      <c r="BD119" s="1"/>
      <c r="BE119" s="1"/>
      <c r="BF119" s="1"/>
      <c r="BG119" s="1"/>
      <c r="BJ119" s="99"/>
      <c r="BK119" s="1"/>
      <c r="BL119" s="1"/>
      <c r="BM119" s="1"/>
      <c r="BN119" s="1"/>
      <c r="BO119" s="1"/>
      <c r="BP119" s="38"/>
      <c r="BQ119" s="1"/>
      <c r="BR119" s="1"/>
      <c r="BS119" s="1"/>
      <c r="BT119" s="1"/>
      <c r="BU119" s="1"/>
      <c r="BV119" s="1"/>
      <c r="BW119" s="1"/>
      <c r="BX119" s="1"/>
      <c r="BY119" s="1"/>
    </row>
    <row r="120" spans="1:77" ht="12" customHeight="1" x14ac:dyDescent="0.2">
      <c r="A120" s="90" t="s">
        <v>298</v>
      </c>
      <c r="B120" s="97"/>
      <c r="C120" s="180">
        <f>SUM(BQ85:BQ111)/1000</f>
        <v>1.2855149400546702</v>
      </c>
      <c r="D120" s="93" t="s">
        <v>296</v>
      </c>
      <c r="E120" s="178">
        <f>C120/C121*100</f>
        <v>25.852114102717728</v>
      </c>
      <c r="F120" s="97" t="s">
        <v>18</v>
      </c>
      <c r="G120" s="93"/>
      <c r="H120" s="1"/>
      <c r="M120" s="1"/>
      <c r="N120" s="1"/>
      <c r="O120" s="1"/>
      <c r="P120" s="1"/>
      <c r="Q120" s="1"/>
      <c r="R120" s="1"/>
      <c r="AQ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J120" s="26"/>
      <c r="BK120" s="1"/>
      <c r="BL120" s="1"/>
      <c r="BM120" s="1"/>
      <c r="BN120" s="1"/>
      <c r="BO120" s="1"/>
      <c r="BP120" s="38"/>
      <c r="BQ120" s="1"/>
      <c r="BR120" s="1"/>
      <c r="BS120" s="1"/>
      <c r="BT120" s="1"/>
      <c r="BU120" s="1"/>
      <c r="BV120" s="1"/>
      <c r="BW120" s="1"/>
      <c r="BX120" s="1"/>
      <c r="BY120" s="1"/>
    </row>
    <row r="121" spans="1:77" ht="12" customHeight="1" x14ac:dyDescent="0.2">
      <c r="A121" s="90" t="s">
        <v>299</v>
      </c>
      <c r="B121" s="94"/>
      <c r="C121" s="94">
        <f>SUM(BR85:BR111)/1000+SUM(K85:K112)+SUM(BQ85:BQ111)/1000</f>
        <v>4.9725718173258766</v>
      </c>
      <c r="D121" s="93" t="s">
        <v>296</v>
      </c>
      <c r="E121" s="100"/>
      <c r="F121" s="101"/>
      <c r="G121" s="97"/>
      <c r="H121" s="1"/>
      <c r="M121" s="1"/>
      <c r="N121" s="1"/>
      <c r="O121" s="1"/>
      <c r="P121" s="1"/>
      <c r="Q121" s="1"/>
      <c r="R121" s="1"/>
      <c r="AQ121" s="1"/>
      <c r="AR121" s="1"/>
      <c r="AS121" s="13"/>
      <c r="AT121" s="1"/>
      <c r="AU121" s="1"/>
      <c r="AV121" s="37"/>
      <c r="AW121" s="1"/>
      <c r="AY121" s="1"/>
      <c r="AZ121" s="1"/>
      <c r="BA121" s="1"/>
      <c r="BB121" s="1"/>
      <c r="BC121" s="1"/>
      <c r="BD121" s="1"/>
      <c r="BE121" s="1"/>
      <c r="BF121" s="1"/>
      <c r="BG121" s="1"/>
      <c r="BJ121" s="26"/>
      <c r="BK121" s="1"/>
      <c r="BL121" s="1"/>
      <c r="BM121" s="1"/>
      <c r="BN121" s="1"/>
      <c r="BO121" s="1"/>
      <c r="BP121" s="38"/>
      <c r="BQ121" s="1"/>
      <c r="BR121" s="1"/>
      <c r="BS121" s="1"/>
      <c r="BT121" s="1"/>
      <c r="BU121" s="1"/>
      <c r="BV121" s="1"/>
      <c r="BW121" s="1"/>
      <c r="BX121" s="1"/>
      <c r="BY121" s="1"/>
    </row>
    <row r="122" spans="1:77" ht="12" customHeight="1" x14ac:dyDescent="0.2">
      <c r="A122" s="90" t="s">
        <v>300</v>
      </c>
      <c r="B122" s="93"/>
      <c r="C122" s="181">
        <f>C121/(B$8-B$5)</f>
        <v>1.8504730767448354E-3</v>
      </c>
      <c r="D122" s="93" t="s">
        <v>301</v>
      </c>
      <c r="E122" s="101">
        <f>C122/B77*0.305*0.305*3600/0.454</f>
        <v>19.736272896699564</v>
      </c>
      <c r="F122" s="93" t="s">
        <v>302</v>
      </c>
      <c r="G122" s="93"/>
      <c r="H122" s="1"/>
      <c r="M122" s="1"/>
      <c r="N122" s="1"/>
      <c r="O122" s="1"/>
      <c r="P122" s="1"/>
      <c r="Q122" s="1"/>
      <c r="R122" s="1"/>
      <c r="AQ122" s="1"/>
      <c r="AR122" s="1"/>
      <c r="AS122" s="6"/>
      <c r="AT122" s="1"/>
      <c r="AU122" s="37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J122" s="26"/>
      <c r="BK122" s="1"/>
      <c r="BL122" s="1"/>
      <c r="BM122" s="1"/>
      <c r="BN122" s="1"/>
      <c r="BO122" s="1"/>
      <c r="BP122" s="38"/>
      <c r="BQ122" s="1"/>
      <c r="BR122" s="1"/>
      <c r="BS122" s="1"/>
      <c r="BT122" s="1"/>
      <c r="BU122" s="1"/>
      <c r="BV122" s="1"/>
      <c r="BW122" s="1"/>
      <c r="BX122" s="1"/>
      <c r="BY122" s="1"/>
    </row>
    <row r="123" spans="1:77" ht="12" customHeight="1" x14ac:dyDescent="0.2">
      <c r="A123" s="90" t="s">
        <v>303</v>
      </c>
      <c r="B123" s="93"/>
      <c r="C123" s="94">
        <f>K111/F111</f>
        <v>26.003983079209007</v>
      </c>
      <c r="D123" s="93" t="s">
        <v>304</v>
      </c>
      <c r="E123" s="93"/>
      <c r="F123" s="101"/>
      <c r="G123" s="93"/>
      <c r="H123" s="1"/>
      <c r="M123" s="1"/>
      <c r="N123" s="1"/>
      <c r="O123" s="1"/>
      <c r="P123" s="1"/>
      <c r="Q123" s="1"/>
      <c r="R123" s="1"/>
      <c r="AQ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J123" s="26"/>
      <c r="BK123" s="1"/>
      <c r="BL123" s="1"/>
      <c r="BM123" s="1"/>
      <c r="BN123" s="1"/>
      <c r="BO123" s="1"/>
      <c r="BP123" s="38"/>
      <c r="BQ123" s="1"/>
      <c r="BR123" s="1"/>
      <c r="BS123" s="1"/>
      <c r="BT123" s="1"/>
      <c r="BU123" s="1"/>
      <c r="BV123" s="1"/>
      <c r="BW123" s="1"/>
      <c r="BX123" s="1"/>
      <c r="BY123" s="1"/>
    </row>
    <row r="124" spans="1:77" ht="12" customHeight="1" x14ac:dyDescent="0.2">
      <c r="A124" s="90" t="s">
        <v>305</v>
      </c>
      <c r="B124" s="97"/>
      <c r="C124" s="105">
        <f>G111</f>
        <v>1328.8064683811604</v>
      </c>
      <c r="D124" s="93" t="s">
        <v>168</v>
      </c>
      <c r="E124" s="182"/>
      <c r="F124" s="182"/>
      <c r="G124" s="18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183"/>
      <c r="AT124" s="42"/>
      <c r="AU124" s="42"/>
      <c r="AV124" s="184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184"/>
      <c r="BK124" s="42"/>
      <c r="BL124" s="42"/>
      <c r="BM124" s="42"/>
      <c r="BN124" s="42"/>
      <c r="BO124" s="42"/>
      <c r="BP124" s="43"/>
      <c r="BQ124" s="1"/>
      <c r="BR124" s="1"/>
      <c r="BS124" s="1"/>
      <c r="BT124" s="1"/>
      <c r="BU124" s="1"/>
      <c r="BV124" s="1"/>
      <c r="BW124" s="1"/>
      <c r="BX124" s="1"/>
      <c r="BY124" s="1"/>
    </row>
    <row r="125" spans="1:77" ht="12" customHeight="1" x14ac:dyDescent="0.2">
      <c r="A125" s="185"/>
      <c r="B125" s="185"/>
      <c r="C125" s="186"/>
      <c r="D125" s="185"/>
      <c r="E125" s="14"/>
      <c r="F125" s="37"/>
      <c r="G125" s="1"/>
      <c r="H125" s="1"/>
      <c r="I125" s="1"/>
      <c r="J125" s="1"/>
      <c r="K125" s="1"/>
      <c r="L125" s="1"/>
      <c r="M125" s="1"/>
      <c r="Q125" s="1"/>
      <c r="R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</row>
    <row r="126" spans="1:77" ht="12" customHeight="1" x14ac:dyDescent="0.2">
      <c r="A126" s="187"/>
      <c r="B126" s="14"/>
      <c r="C126" s="108"/>
      <c r="D126" s="188"/>
      <c r="E126" s="14"/>
      <c r="F126" s="37"/>
      <c r="G126" s="1"/>
      <c r="H126" s="1"/>
      <c r="I126" s="1"/>
      <c r="J126" s="1"/>
      <c r="K126" s="1"/>
      <c r="L126" s="1"/>
      <c r="M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</row>
    <row r="127" spans="1:77" ht="12" customHeight="1" x14ac:dyDescent="0.2">
      <c r="A127" s="189" t="s">
        <v>306</v>
      </c>
      <c r="B127" s="190"/>
      <c r="C127" s="190"/>
      <c r="D127" s="191"/>
      <c r="E127" s="14"/>
      <c r="F127" s="37"/>
      <c r="G127" s="1"/>
      <c r="H127" s="1"/>
      <c r="I127" s="1"/>
      <c r="J127" s="1"/>
      <c r="K127" s="1"/>
      <c r="L127" s="1"/>
      <c r="M127" s="1"/>
      <c r="BX127" s="1"/>
      <c r="BY127" s="1"/>
    </row>
    <row r="128" spans="1:77" ht="12" customHeight="1" x14ac:dyDescent="0.2">
      <c r="A128" s="189" t="s">
        <v>307</v>
      </c>
      <c r="B128" s="190"/>
      <c r="C128" s="192">
        <f>'Data Input'!B51</f>
        <v>0.45</v>
      </c>
      <c r="D128" s="191" t="s">
        <v>61</v>
      </c>
      <c r="E128" s="14"/>
      <c r="F128" s="37"/>
      <c r="G128" s="1"/>
      <c r="H128" s="1"/>
      <c r="I128" s="1"/>
      <c r="J128" s="1"/>
      <c r="K128" s="1"/>
      <c r="L128" s="1"/>
      <c r="M128" s="1"/>
      <c r="BX128" s="1"/>
      <c r="BY128" s="1"/>
    </row>
    <row r="129" spans="1:77" ht="12" customHeight="1" x14ac:dyDescent="0.2">
      <c r="A129" s="189" t="s">
        <v>308</v>
      </c>
      <c r="B129" s="190"/>
      <c r="C129" s="193">
        <f>'Data Input'!B52</f>
        <v>140</v>
      </c>
      <c r="D129" s="191" t="s">
        <v>56</v>
      </c>
      <c r="E129" s="14"/>
      <c r="F129" s="37"/>
      <c r="G129" s="1"/>
      <c r="H129" s="1"/>
      <c r="I129" s="1"/>
      <c r="J129" s="1"/>
      <c r="K129" s="1"/>
      <c r="L129" s="1"/>
      <c r="M129" s="1"/>
      <c r="BX129" s="1"/>
      <c r="BY129" s="1"/>
    </row>
    <row r="130" spans="1:77" ht="12" customHeight="1" x14ac:dyDescent="0.2">
      <c r="A130" s="189" t="s">
        <v>81</v>
      </c>
      <c r="B130" s="190"/>
      <c r="C130" s="193">
        <f>'Data Input'!B53</f>
        <v>3</v>
      </c>
      <c r="D130" s="191" t="s">
        <v>56</v>
      </c>
      <c r="E130" s="14"/>
      <c r="F130" s="37"/>
      <c r="G130" s="1"/>
      <c r="H130" s="1"/>
      <c r="I130" s="1"/>
      <c r="J130" s="1"/>
      <c r="K130" s="1"/>
      <c r="L130" s="1"/>
      <c r="M130" s="1"/>
      <c r="BX130" s="1"/>
      <c r="BY130" s="1"/>
    </row>
    <row r="131" spans="1:77" ht="12" customHeight="1" x14ac:dyDescent="0.2">
      <c r="A131" s="189" t="s">
        <v>309</v>
      </c>
      <c r="B131" s="190"/>
      <c r="C131" s="194">
        <f>'Data Input'!B54</f>
        <v>0.08</v>
      </c>
      <c r="D131" s="195" t="s">
        <v>310</v>
      </c>
      <c r="E131" s="14"/>
      <c r="F131" s="37"/>
      <c r="G131" s="1"/>
      <c r="H131" s="1"/>
      <c r="I131" s="1"/>
      <c r="J131" s="1"/>
      <c r="K131" s="1"/>
      <c r="L131" s="1"/>
      <c r="M131" s="1"/>
      <c r="BX131" s="1"/>
      <c r="BY131" s="1"/>
    </row>
    <row r="132" spans="1:77" ht="12" customHeight="1" x14ac:dyDescent="0.2">
      <c r="A132" s="189" t="s">
        <v>311</v>
      </c>
      <c r="B132" s="190"/>
      <c r="C132" s="193">
        <f>C129*PI()/1000*C128*C131*(B6-'Data Input'!B8)/(C130/1000)</f>
        <v>760.02082605977898</v>
      </c>
      <c r="D132" s="191" t="s">
        <v>287</v>
      </c>
      <c r="E132" s="14"/>
      <c r="F132" s="37"/>
      <c r="G132" s="1"/>
      <c r="H132" s="1"/>
      <c r="I132" s="1"/>
      <c r="J132" s="1"/>
      <c r="K132" s="1"/>
      <c r="L132" s="1"/>
      <c r="M132" s="1"/>
    </row>
    <row r="133" spans="1:77" ht="12" customHeight="1" x14ac:dyDescent="0.2">
      <c r="A133" s="40"/>
      <c r="B133" s="42"/>
      <c r="C133" s="42"/>
      <c r="D133" s="43"/>
    </row>
    <row r="134" spans="1:77" ht="12" customHeight="1" x14ac:dyDescent="0.2">
      <c r="A134" s="1"/>
      <c r="B134" s="1"/>
      <c r="C134" s="1"/>
      <c r="D134" s="1"/>
    </row>
    <row r="135" spans="1:77" ht="12" customHeight="1" x14ac:dyDescent="0.2">
      <c r="B135" s="27"/>
    </row>
    <row r="136" spans="1:77" ht="12" customHeight="1" x14ac:dyDescent="0.2">
      <c r="A136" s="32"/>
      <c r="B136" s="196"/>
      <c r="C136" s="33"/>
      <c r="D136" s="33"/>
      <c r="E136" s="33"/>
      <c r="F136" s="33"/>
      <c r="G136" s="33"/>
      <c r="H136" s="35"/>
    </row>
    <row r="137" spans="1:77" ht="12" customHeight="1" x14ac:dyDescent="0.2">
      <c r="A137" s="36" t="s">
        <v>312</v>
      </c>
      <c r="B137" s="99"/>
      <c r="C137" s="1"/>
      <c r="D137" s="1"/>
      <c r="E137" s="1"/>
      <c r="F137" s="1"/>
      <c r="G137" s="1"/>
      <c r="H137" s="38"/>
    </row>
    <row r="138" spans="1:77" ht="12" customHeight="1" x14ac:dyDescent="0.2">
      <c r="A138" s="36" t="s">
        <v>313</v>
      </c>
      <c r="B138" s="37">
        <f>'Data Input'!B29</f>
        <v>5.4</v>
      </c>
      <c r="C138" s="1" t="s">
        <v>314</v>
      </c>
      <c r="D138" s="1"/>
      <c r="E138" s="1"/>
      <c r="F138" s="1"/>
      <c r="G138" s="1"/>
      <c r="H138" s="38"/>
    </row>
    <row r="139" spans="1:77" ht="12" customHeight="1" x14ac:dyDescent="0.2">
      <c r="A139" s="36" t="s">
        <v>49</v>
      </c>
      <c r="B139" s="1">
        <f>'Data Input'!B31</f>
        <v>99.9</v>
      </c>
      <c r="C139" s="1" t="s">
        <v>18</v>
      </c>
      <c r="D139" s="1"/>
      <c r="E139" s="1"/>
      <c r="F139" s="1"/>
      <c r="G139" s="1"/>
      <c r="H139" s="38"/>
    </row>
    <row r="140" spans="1:77" ht="12" customHeight="1" x14ac:dyDescent="0.2">
      <c r="A140" s="36" t="s">
        <v>315</v>
      </c>
      <c r="B140" s="12">
        <f>B10</f>
        <v>2756.3356733952824</v>
      </c>
      <c r="C140" s="1" t="s">
        <v>90</v>
      </c>
      <c r="D140" s="1"/>
      <c r="E140" s="1"/>
      <c r="F140" s="1"/>
      <c r="G140" s="1"/>
      <c r="H140" s="38"/>
    </row>
    <row r="141" spans="1:77" ht="12" customHeight="1" x14ac:dyDescent="0.2">
      <c r="A141" s="36" t="s">
        <v>316</v>
      </c>
      <c r="B141" s="99">
        <f>B6</f>
        <v>161.00127538118977</v>
      </c>
      <c r="C141" s="1" t="s">
        <v>13</v>
      </c>
      <c r="D141" s="1"/>
      <c r="E141" s="1"/>
      <c r="F141" s="1"/>
      <c r="G141" s="1"/>
      <c r="H141" s="38"/>
    </row>
    <row r="142" spans="1:77" ht="12" customHeight="1" x14ac:dyDescent="0.2">
      <c r="A142" s="36" t="s">
        <v>51</v>
      </c>
      <c r="B142" s="99">
        <f>'Data Input'!B32+1</f>
        <v>5</v>
      </c>
      <c r="C142" s="1" t="s">
        <v>317</v>
      </c>
      <c r="D142" s="1"/>
      <c r="E142" s="1"/>
      <c r="F142" s="1"/>
      <c r="G142" s="1"/>
      <c r="H142" s="38"/>
    </row>
    <row r="143" spans="1:77" ht="12" customHeight="1" x14ac:dyDescent="0.2">
      <c r="A143" s="36"/>
      <c r="B143" s="1"/>
      <c r="C143" s="1"/>
      <c r="D143" s="1"/>
      <c r="E143" s="1"/>
      <c r="F143" s="1"/>
      <c r="G143" s="1"/>
      <c r="H143" s="38"/>
    </row>
    <row r="144" spans="1:77" ht="12" customHeight="1" x14ac:dyDescent="0.2">
      <c r="A144" s="36" t="s">
        <v>318</v>
      </c>
      <c r="B144" s="99">
        <f>100.55*B142^0.2536</f>
        <v>151.23101536908422</v>
      </c>
      <c r="C144" s="1" t="s">
        <v>13</v>
      </c>
      <c r="D144" s="1"/>
      <c r="E144" s="1"/>
      <c r="F144" s="1"/>
      <c r="G144" s="1"/>
      <c r="H144" s="38"/>
    </row>
    <row r="145" spans="1:33" ht="12" customHeight="1" x14ac:dyDescent="0.2">
      <c r="A145" s="36" t="s">
        <v>319</v>
      </c>
      <c r="B145" s="12">
        <f>B140</f>
        <v>2756.3356733952824</v>
      </c>
      <c r="C145" s="1" t="s">
        <v>90</v>
      </c>
      <c r="D145" s="1" t="s">
        <v>320</v>
      </c>
      <c r="E145" s="1"/>
      <c r="F145" s="1"/>
      <c r="G145" s="1"/>
      <c r="H145" s="38"/>
    </row>
    <row r="146" spans="1:33" ht="12" customHeight="1" x14ac:dyDescent="0.2">
      <c r="A146" s="36" t="s">
        <v>321</v>
      </c>
      <c r="B146" s="12">
        <f>2677.2*B142^0.0161</f>
        <v>2747.4780622312096</v>
      </c>
      <c r="C146" s="1" t="s">
        <v>90</v>
      </c>
      <c r="D146" s="1"/>
      <c r="E146" s="1"/>
      <c r="F146" s="1"/>
      <c r="G146" s="1"/>
      <c r="H146" s="38"/>
    </row>
    <row r="147" spans="1:33" ht="12" customHeight="1" x14ac:dyDescent="0.25">
      <c r="A147" s="36" t="s">
        <v>322</v>
      </c>
      <c r="B147" s="99">
        <f>IF(B145&lt;B146,100.55*B142^0.2536,(B145+9.0877*B142-2486.6)/(0.0199*B142+1.9776))</f>
        <v>151.73760213532455</v>
      </c>
      <c r="C147" s="1" t="s">
        <v>13</v>
      </c>
      <c r="D147" s="1"/>
      <c r="E147" s="1"/>
      <c r="F147" s="1"/>
      <c r="G147"/>
      <c r="H147" s="38"/>
    </row>
    <row r="148" spans="1:33" ht="12" customHeight="1" x14ac:dyDescent="0.2">
      <c r="A148" s="36" t="s">
        <v>323</v>
      </c>
      <c r="B148" s="197">
        <f>IF(B145&lt;(2677.2*B142^0.0161),1/(1.7023*B142^-0.9421),1/((0.004625-(1451200*(B147+273)^-4.0097)*B142)*(B147+273)/B142))</f>
        <v>2.6665055690170889</v>
      </c>
      <c r="C148" s="1" t="s">
        <v>324</v>
      </c>
      <c r="D148" s="1"/>
      <c r="E148" s="1"/>
      <c r="F148" s="1"/>
      <c r="G148" s="120"/>
      <c r="H148" s="38"/>
    </row>
    <row r="149" spans="1:33" ht="12" customHeight="1" x14ac:dyDescent="0.25">
      <c r="A149" s="40"/>
      <c r="B149" s="184"/>
      <c r="C149" s="42"/>
      <c r="D149" s="42"/>
      <c r="E149" s="42"/>
      <c r="F149" s="42"/>
      <c r="G149" s="42"/>
      <c r="H149" s="43"/>
      <c r="AA149"/>
    </row>
    <row r="150" spans="1:33" ht="12" customHeight="1" x14ac:dyDescent="0.2">
      <c r="B150" s="27"/>
    </row>
    <row r="151" spans="1:33" ht="12" customHeight="1" x14ac:dyDescent="0.2">
      <c r="A151" s="198" t="s">
        <v>325</v>
      </c>
      <c r="B151" s="33"/>
      <c r="C151" s="33"/>
      <c r="D151" s="33"/>
      <c r="E151" s="33"/>
      <c r="F151" s="199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1"/>
      <c r="AG151" s="35"/>
    </row>
    <row r="152" spans="1:33" ht="12" customHeight="1" x14ac:dyDescent="0.2">
      <c r="A152" s="36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38"/>
    </row>
    <row r="153" spans="1:33" ht="12" customHeight="1" x14ac:dyDescent="0.2">
      <c r="A153" s="200" t="s">
        <v>326</v>
      </c>
      <c r="B153" s="201">
        <f>B43</f>
        <v>7.1147906339882909E-3</v>
      </c>
      <c r="C153" s="89" t="s">
        <v>327</v>
      </c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38"/>
    </row>
    <row r="154" spans="1:33" ht="12" customHeight="1" x14ac:dyDescent="0.2">
      <c r="A154" s="36" t="s">
        <v>328</v>
      </c>
      <c r="B154" s="12">
        <f>C116</f>
        <v>1034.2609350901587</v>
      </c>
      <c r="C154" s="1" t="s">
        <v>47</v>
      </c>
      <c r="D154" s="12">
        <f>B154*9/5+32</f>
        <v>1893.6696831622855</v>
      </c>
      <c r="E154" s="9" t="s">
        <v>144</v>
      </c>
      <c r="F154" s="98" t="s">
        <v>329</v>
      </c>
      <c r="H154" s="99">
        <f>B154*B155</f>
        <v>1148.0296379500762</v>
      </c>
      <c r="I154" s="1" t="s">
        <v>330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38"/>
    </row>
    <row r="155" spans="1:33" ht="12" customHeight="1" x14ac:dyDescent="0.2">
      <c r="A155" s="36" t="s">
        <v>25</v>
      </c>
      <c r="B155" s="1">
        <v>1.1100000000000001</v>
      </c>
      <c r="C155" s="1" t="s">
        <v>26</v>
      </c>
      <c r="D155" s="1" t="s">
        <v>331</v>
      </c>
      <c r="E155" s="98"/>
      <c r="F155" s="1"/>
      <c r="G155" s="99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38"/>
    </row>
    <row r="156" spans="1:33" ht="12" customHeight="1" x14ac:dyDescent="0.2">
      <c r="A156" s="36" t="s">
        <v>332</v>
      </c>
      <c r="B156" s="37">
        <f>B6</f>
        <v>161.00127538118977</v>
      </c>
      <c r="C156" s="1" t="s">
        <v>47</v>
      </c>
      <c r="E156" s="98"/>
      <c r="F156" s="1"/>
      <c r="G156" s="99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38"/>
    </row>
    <row r="157" spans="1:33" ht="12" customHeight="1" x14ac:dyDescent="0.2">
      <c r="A157" s="14" t="s">
        <v>28</v>
      </c>
      <c r="B157" s="102">
        <f>'Data Input'!B16</f>
        <v>0.9</v>
      </c>
      <c r="C157" s="14" t="s">
        <v>29</v>
      </c>
      <c r="D157" s="99"/>
      <c r="E157" s="98"/>
      <c r="F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38"/>
    </row>
    <row r="158" spans="1:33" ht="12" customHeight="1" x14ac:dyDescent="0.2">
      <c r="A158" s="36" t="s">
        <v>31</v>
      </c>
      <c r="B158" s="27">
        <f>'Data Input'!B17</f>
        <v>1.6</v>
      </c>
      <c r="C158" s="14"/>
      <c r="D158" s="99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38"/>
    </row>
    <row r="159" spans="1:33" ht="12" customHeight="1" x14ac:dyDescent="0.2">
      <c r="A159" s="14"/>
      <c r="B159" s="102"/>
      <c r="C159" s="14"/>
      <c r="D159" s="99"/>
      <c r="E159" s="98"/>
      <c r="F159" s="1"/>
      <c r="G159" s="99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38"/>
    </row>
    <row r="160" spans="1:33" ht="12" customHeight="1" x14ac:dyDescent="0.2">
      <c r="A160" s="36" t="s">
        <v>333</v>
      </c>
      <c r="B160" s="1">
        <f>'Data Input'!B40</f>
        <v>26</v>
      </c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38"/>
    </row>
    <row r="161" spans="1:35" ht="12" customHeight="1" x14ac:dyDescent="0.2">
      <c r="A161" s="36" t="s">
        <v>334</v>
      </c>
      <c r="B161" s="1">
        <f>'Data Input'!B42</f>
        <v>5</v>
      </c>
      <c r="C161" s="1"/>
      <c r="D161" s="1"/>
      <c r="E161" s="1" t="s">
        <v>335</v>
      </c>
      <c r="F161" s="1"/>
      <c r="H161" s="37">
        <f>(B165^2*PI()/4)</f>
        <v>73.747641589949126</v>
      </c>
      <c r="I161" s="1" t="s">
        <v>336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38"/>
    </row>
    <row r="162" spans="1:35" ht="12" customHeight="1" x14ac:dyDescent="0.2">
      <c r="A162" s="36" t="s">
        <v>68</v>
      </c>
      <c r="B162" s="1">
        <f>'Data Input'!B43</f>
        <v>1</v>
      </c>
      <c r="C162" s="1"/>
      <c r="D162" s="1"/>
      <c r="E162" s="1" t="s">
        <v>337</v>
      </c>
      <c r="F162" s="1"/>
      <c r="H162" s="37">
        <f>(B163^2*PI()/4-B164^2*PI()/4*2*B162)</f>
        <v>180.71012851541514</v>
      </c>
      <c r="I162" s="1" t="s">
        <v>336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38"/>
    </row>
    <row r="163" spans="1:35" ht="12" customHeight="1" x14ac:dyDescent="0.2">
      <c r="A163" s="36" t="s">
        <v>338</v>
      </c>
      <c r="B163" s="99">
        <f>'Data Input'!B41</f>
        <v>17.627599999999997</v>
      </c>
      <c r="C163" s="1" t="s">
        <v>56</v>
      </c>
      <c r="D163" s="1"/>
      <c r="E163" s="9" t="s">
        <v>339</v>
      </c>
      <c r="H163" s="27">
        <f>H162*4/((B163+B164*2*B162)*PI())</f>
        <v>7.5867289782244534</v>
      </c>
      <c r="I163" s="9" t="s">
        <v>56</v>
      </c>
      <c r="J163" s="37" t="s">
        <v>340</v>
      </c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38"/>
    </row>
    <row r="164" spans="1:35" ht="12" customHeight="1" x14ac:dyDescent="0.2">
      <c r="A164" s="36" t="s">
        <v>341</v>
      </c>
      <c r="B164" s="1">
        <f>'Data Input'!B44</f>
        <v>6.35</v>
      </c>
      <c r="C164" s="1" t="s">
        <v>56</v>
      </c>
      <c r="D164" s="1"/>
      <c r="E164" s="1" t="s">
        <v>342</v>
      </c>
      <c r="F164" s="1"/>
      <c r="H164" s="12">
        <f>H161*B160+H162*B161</f>
        <v>2820.9893239157527</v>
      </c>
      <c r="I164" s="1" t="s">
        <v>336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38"/>
    </row>
    <row r="165" spans="1:35" ht="12" customHeight="1" x14ac:dyDescent="0.2">
      <c r="A165" s="36" t="s">
        <v>343</v>
      </c>
      <c r="B165" s="26">
        <f>'Data Input'!B39</f>
        <v>9.6901193802387589</v>
      </c>
      <c r="C165" s="1" t="s">
        <v>56</v>
      </c>
      <c r="D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38"/>
    </row>
    <row r="166" spans="1:35" ht="12" customHeight="1" x14ac:dyDescent="0.2">
      <c r="A166" s="36" t="s">
        <v>344</v>
      </c>
      <c r="B166" s="26">
        <f>'Data Input'!B38</f>
        <v>0.30322580645161296</v>
      </c>
      <c r="C166" s="1" t="s">
        <v>61</v>
      </c>
      <c r="D166" s="1"/>
      <c r="E166" s="1" t="s">
        <v>345</v>
      </c>
      <c r="H166" s="130">
        <f>1-EXP(-B157*B165/1000)</f>
        <v>8.6831888953438074E-3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38"/>
    </row>
    <row r="167" spans="1:35" ht="12" customHeight="1" x14ac:dyDescent="0.2">
      <c r="A167" s="1" t="s">
        <v>74</v>
      </c>
      <c r="B167" s="1">
        <f>'Data Input'!B47</f>
        <v>0.30000000000000004</v>
      </c>
      <c r="C167" s="1" t="s">
        <v>56</v>
      </c>
      <c r="D167" s="1"/>
      <c r="E167" s="1"/>
      <c r="H167" s="130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38"/>
    </row>
    <row r="168" spans="1:35" ht="12" customHeight="1" x14ac:dyDescent="0.2">
      <c r="A168" s="36"/>
      <c r="B168" s="26"/>
      <c r="C168" s="1"/>
      <c r="D168" s="1"/>
      <c r="E168" s="1"/>
      <c r="H168" s="130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38"/>
    </row>
    <row r="169" spans="1:35" ht="12" customHeight="1" x14ac:dyDescent="0.2">
      <c r="D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38"/>
    </row>
    <row r="170" spans="1:35" ht="12" customHeight="1" x14ac:dyDescent="0.2">
      <c r="A170" s="36" t="s">
        <v>346</v>
      </c>
      <c r="B170" s="26"/>
      <c r="C170" s="1"/>
      <c r="D170" s="1"/>
      <c r="E170" s="1"/>
      <c r="F170" s="1"/>
      <c r="G170" s="129"/>
      <c r="H170" s="1"/>
      <c r="I170" s="1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G170" s="38"/>
    </row>
    <row r="171" spans="1:35" ht="12" customHeight="1" x14ac:dyDescent="0.2">
      <c r="A171" s="36"/>
      <c r="B171" s="26"/>
      <c r="C171" s="1"/>
      <c r="E171" s="132"/>
      <c r="F171" s="133"/>
      <c r="G171" s="132"/>
      <c r="H171" s="202" t="s">
        <v>347</v>
      </c>
      <c r="I171" s="132"/>
      <c r="J171" s="132"/>
      <c r="K171" s="132"/>
      <c r="L171" s="132"/>
      <c r="M171" s="132"/>
      <c r="N171" s="132"/>
      <c r="O171" s="203" t="s">
        <v>348</v>
      </c>
      <c r="P171" s="132"/>
      <c r="Q171" s="132"/>
      <c r="R171" s="132"/>
      <c r="S171" s="132"/>
      <c r="T171" s="132"/>
      <c r="U171" s="132"/>
      <c r="V171" s="203" t="s">
        <v>349</v>
      </c>
      <c r="W171" s="132"/>
      <c r="X171" s="132"/>
      <c r="Y171" s="132"/>
      <c r="Z171" s="132"/>
      <c r="AA171" s="132"/>
      <c r="AB171" s="132"/>
      <c r="AC171" s="110"/>
      <c r="AD171" s="14"/>
      <c r="AE171" s="14"/>
      <c r="AF171" s="14"/>
      <c r="AG171" s="106"/>
      <c r="AH171" s="14"/>
      <c r="AI171" s="14"/>
    </row>
    <row r="172" spans="1:35" ht="12" customHeight="1" x14ac:dyDescent="0.2">
      <c r="A172" s="200" t="s">
        <v>350</v>
      </c>
      <c r="B172" s="112" t="s">
        <v>195</v>
      </c>
      <c r="C172" s="112"/>
      <c r="E172" s="133" t="s">
        <v>196</v>
      </c>
      <c r="F172" s="133" t="s">
        <v>197</v>
      </c>
      <c r="G172" s="133" t="s">
        <v>197</v>
      </c>
      <c r="H172" s="202" t="s">
        <v>351</v>
      </c>
      <c r="I172" s="133"/>
      <c r="J172" s="133"/>
      <c r="K172" s="133"/>
      <c r="L172" s="133"/>
      <c r="M172" s="133"/>
      <c r="N172" s="133" t="s">
        <v>199</v>
      </c>
      <c r="O172" s="202" t="s">
        <v>351</v>
      </c>
      <c r="P172" s="133"/>
      <c r="Q172" s="133"/>
      <c r="R172" s="133"/>
      <c r="S172" s="133"/>
      <c r="T172" s="133"/>
      <c r="U172" s="133" t="s">
        <v>199</v>
      </c>
      <c r="V172" s="202" t="s">
        <v>351</v>
      </c>
      <c r="W172" s="133"/>
      <c r="X172" s="133"/>
      <c r="Y172" s="133"/>
      <c r="Z172" s="133"/>
      <c r="AA172" s="133"/>
      <c r="AB172" s="133" t="s">
        <v>199</v>
      </c>
      <c r="AC172" s="110"/>
      <c r="AD172" s="109"/>
      <c r="AE172" s="109"/>
      <c r="AF172" s="109"/>
      <c r="AG172" s="113"/>
      <c r="AH172" s="109"/>
      <c r="AI172" s="109"/>
    </row>
    <row r="173" spans="1:35" ht="12" customHeight="1" x14ac:dyDescent="0.2">
      <c r="A173" s="204" t="s">
        <v>352</v>
      </c>
      <c r="B173" s="112" t="s">
        <v>243</v>
      </c>
      <c r="C173" s="115" t="s">
        <v>244</v>
      </c>
      <c r="E173" s="133" t="s">
        <v>246</v>
      </c>
      <c r="F173" s="133" t="s">
        <v>247</v>
      </c>
      <c r="G173" s="133" t="s">
        <v>250</v>
      </c>
      <c r="H173" s="202" t="s">
        <v>353</v>
      </c>
      <c r="I173" s="134" t="s">
        <v>248</v>
      </c>
      <c r="J173" s="134" t="s">
        <v>249</v>
      </c>
      <c r="K173" s="134" t="s">
        <v>251</v>
      </c>
      <c r="L173" s="134" t="s">
        <v>252</v>
      </c>
      <c r="M173" s="134" t="s">
        <v>245</v>
      </c>
      <c r="N173" s="134" t="s">
        <v>253</v>
      </c>
      <c r="O173" s="202" t="s">
        <v>353</v>
      </c>
      <c r="P173" s="134" t="s">
        <v>248</v>
      </c>
      <c r="Q173" s="134" t="s">
        <v>249</v>
      </c>
      <c r="R173" s="134" t="s">
        <v>251</v>
      </c>
      <c r="S173" s="134" t="s">
        <v>252</v>
      </c>
      <c r="T173" s="134" t="s">
        <v>245</v>
      </c>
      <c r="U173" s="134" t="s">
        <v>253</v>
      </c>
      <c r="V173" s="202" t="s">
        <v>353</v>
      </c>
      <c r="W173" s="134" t="s">
        <v>248</v>
      </c>
      <c r="X173" s="134" t="s">
        <v>249</v>
      </c>
      <c r="Y173" s="134" t="s">
        <v>251</v>
      </c>
      <c r="Z173" s="134" t="s">
        <v>252</v>
      </c>
      <c r="AA173" s="134" t="s">
        <v>245</v>
      </c>
      <c r="AB173" s="134" t="s">
        <v>253</v>
      </c>
      <c r="AC173" s="110"/>
      <c r="AD173" s="116"/>
      <c r="AE173" s="116"/>
      <c r="AF173" s="116"/>
      <c r="AG173" s="117"/>
      <c r="AH173" s="116"/>
      <c r="AI173" s="116"/>
    </row>
    <row r="174" spans="1:35" ht="12" customHeight="1" x14ac:dyDescent="0.2">
      <c r="A174" s="204" t="s">
        <v>354</v>
      </c>
      <c r="B174" s="112" t="s">
        <v>61</v>
      </c>
      <c r="C174" s="115" t="s">
        <v>271</v>
      </c>
      <c r="E174" s="133" t="s">
        <v>273</v>
      </c>
      <c r="F174" s="134" t="s">
        <v>274</v>
      </c>
      <c r="G174" s="133" t="s">
        <v>277</v>
      </c>
      <c r="H174" s="202" t="s">
        <v>327</v>
      </c>
      <c r="I174" s="134" t="s">
        <v>275</v>
      </c>
      <c r="J174" s="134" t="s">
        <v>276</v>
      </c>
      <c r="K174" s="134" t="s">
        <v>278</v>
      </c>
      <c r="L174" s="134" t="s">
        <v>279</v>
      </c>
      <c r="M174" s="134" t="s">
        <v>272</v>
      </c>
      <c r="N174" s="134" t="s">
        <v>280</v>
      </c>
      <c r="O174" s="202" t="s">
        <v>327</v>
      </c>
      <c r="P174" s="134" t="s">
        <v>275</v>
      </c>
      <c r="Q174" s="134" t="s">
        <v>276</v>
      </c>
      <c r="R174" s="134" t="s">
        <v>278</v>
      </c>
      <c r="S174" s="134" t="s">
        <v>279</v>
      </c>
      <c r="T174" s="134" t="s">
        <v>272</v>
      </c>
      <c r="U174" s="134" t="s">
        <v>280</v>
      </c>
      <c r="V174" s="202" t="s">
        <v>327</v>
      </c>
      <c r="W174" s="134" t="s">
        <v>275</v>
      </c>
      <c r="X174" s="134" t="s">
        <v>276</v>
      </c>
      <c r="Y174" s="134" t="s">
        <v>278</v>
      </c>
      <c r="Z174" s="134" t="s">
        <v>279</v>
      </c>
      <c r="AA174" s="134" t="s">
        <v>272</v>
      </c>
      <c r="AB174" s="134" t="s">
        <v>280</v>
      </c>
      <c r="AC174" s="110"/>
      <c r="AD174" s="116"/>
      <c r="AE174" s="116"/>
      <c r="AF174" s="116"/>
      <c r="AG174" s="117"/>
      <c r="AH174" s="116"/>
      <c r="AI174" s="116"/>
    </row>
    <row r="175" spans="1:35" ht="12" customHeight="1" x14ac:dyDescent="0.2">
      <c r="A175" s="200" t="s">
        <v>355</v>
      </c>
      <c r="B175" s="26">
        <f>B166</f>
        <v>0.30322580645161296</v>
      </c>
      <c r="C175" s="118">
        <v>1.5</v>
      </c>
      <c r="E175" s="147">
        <f>B154/2</f>
        <v>517.13046754507934</v>
      </c>
      <c r="F175" s="154">
        <f>20.583*E175^-0.619</f>
        <v>0.43031867720817213</v>
      </c>
      <c r="G175" s="151">
        <f>-0.0000000000088144*E175^2+0.000000038157*E175+0.000018526</f>
        <v>3.5900965845585068E-5</v>
      </c>
      <c r="H175" s="205">
        <f>B153*H161/H164</f>
        <v>1.8599823303640592E-4</v>
      </c>
      <c r="I175" s="149">
        <f>H175/$F$175*1000</f>
        <v>0.43223369769383008</v>
      </c>
      <c r="J175" s="150">
        <f>I175/1000/(($B$165/1000)^2/4*PI())</f>
        <v>5.8609833260449378</v>
      </c>
      <c r="K175" s="151">
        <f>$F$175*J175*$B$165/1000/$G$175</f>
        <v>680.74377244894424</v>
      </c>
      <c r="L175" s="153">
        <f>MAX(64/K175,(0.25/(LOG(B167/3.7/B165+5.74/K175^0.9))^2))</f>
        <v>9.6467145020579417E-2</v>
      </c>
      <c r="M175" s="149">
        <f>L175*$B$175/$B$165*1000+$C$175</f>
        <v>4.5186756939860491</v>
      </c>
      <c r="N175" s="148">
        <f>M175*$F$175*(J175^2)/2</f>
        <v>33.397375948698766</v>
      </c>
      <c r="O175" s="205">
        <f>H175*1.01</f>
        <v>1.8785821536676997E-4</v>
      </c>
      <c r="P175" s="149">
        <f>O175/$F$175*1000</f>
        <v>0.43655603467076837</v>
      </c>
      <c r="Q175" s="150">
        <f>P175/1000/(($B$165/1000)^2/4*PI())</f>
        <v>5.9195931593053874</v>
      </c>
      <c r="R175" s="151">
        <f>$F$175*Q175*$B$165/1000/$G$175</f>
        <v>687.55121017343367</v>
      </c>
      <c r="S175" s="153">
        <f>MAX(64/R175,(0.25/(LOG(B167/3.7/B165+5.74/R175^0.9))^2))</f>
        <v>9.6161052788980864E-2</v>
      </c>
      <c r="T175" s="149">
        <f>S175*$B$175/$B$165*1000+$C$175</f>
        <v>4.5090973740363145</v>
      </c>
      <c r="U175" s="148">
        <f>T175*$F$175*(Q175^2)/2</f>
        <v>33.996447233478776</v>
      </c>
      <c r="V175" s="205">
        <f>H175*N177/(N177-U177)*0.01+H175</f>
        <v>1.9946775178865457E-4</v>
      </c>
      <c r="W175" s="149">
        <f>V175/$F$175*1000</f>
        <v>0.46353496223488233</v>
      </c>
      <c r="X175" s="150">
        <f>W175/1000/(($B$165/1000)^2/4*PI())</f>
        <v>6.2854208248749774</v>
      </c>
      <c r="Y175" s="151">
        <f>$F$175*X175*$B$165/1000/$G$175</f>
        <v>730.04150425418572</v>
      </c>
      <c r="Z175" s="153">
        <f>MAX(64/Y175,(0.25/(LOG(B167/3.7/B165+5.74/Y175^0.9))^2))</f>
        <v>9.4366227090535659E-2</v>
      </c>
      <c r="AA175" s="149">
        <f>Z175*$B$175/$B$165*1000+$C$175</f>
        <v>4.4529332084058062</v>
      </c>
      <c r="AB175" s="148">
        <f>AA175*$F$175*(X175^2)/2</f>
        <v>37.850803382229167</v>
      </c>
      <c r="AC175" s="121"/>
      <c r="AD175" s="122"/>
      <c r="AE175" s="123"/>
      <c r="AF175" s="108"/>
      <c r="AG175" s="206"/>
      <c r="AH175" s="122"/>
      <c r="AI175" s="108"/>
    </row>
    <row r="176" spans="1:35" ht="12" customHeight="1" x14ac:dyDescent="0.2">
      <c r="A176" s="200" t="s">
        <v>356</v>
      </c>
      <c r="B176" s="26">
        <f>B175</f>
        <v>0.30322580645161296</v>
      </c>
      <c r="C176" s="118">
        <v>1.5</v>
      </c>
      <c r="E176" s="147">
        <f>E175</f>
        <v>517.13046754507934</v>
      </c>
      <c r="F176" s="154">
        <f>20.583*E176^-0.619</f>
        <v>0.43031867720817213</v>
      </c>
      <c r="G176" s="151">
        <f>-0.0000000000088144*E176^2+0.000000038157*E176+0.000018526</f>
        <v>3.5900965845585068E-5</v>
      </c>
      <c r="H176" s="205">
        <f>($B$153-H175*$B$160)/$B$161</f>
        <v>4.5576731500834736E-4</v>
      </c>
      <c r="I176" s="149">
        <f>H176/$F$176*1000</f>
        <v>1.0591390500762861</v>
      </c>
      <c r="J176" s="150">
        <f>I176/1000/($H$162/1000000)</f>
        <v>5.8609833260449378</v>
      </c>
      <c r="K176" s="151">
        <f>$F$176*J176*$H$163/1000/$G$176</f>
        <v>532.9777996044653</v>
      </c>
      <c r="L176" s="153">
        <f>MAX(64/K176,(0.25/(LOG(B167/3.7/H163+5.74/K176^0.9))^2))</f>
        <v>0.12008004845135356</v>
      </c>
      <c r="M176" s="149">
        <f>L176*$B$176/$H$163*1000+$C$176</f>
        <v>6.299350238412222</v>
      </c>
      <c r="N176" s="148">
        <f>M176*$F$175*(J176^2)/2</f>
        <v>46.558279990037214</v>
      </c>
      <c r="O176" s="205">
        <f>($B$153-O175*$B$160)/$B$161</f>
        <v>4.460954068904543E-4</v>
      </c>
      <c r="P176" s="149">
        <f>O176/$F$176*1000</f>
        <v>1.0366628977962069</v>
      </c>
      <c r="Q176" s="150">
        <f>P176/1000/($H$162/1000000)</f>
        <v>5.7366064996615638</v>
      </c>
      <c r="R176" s="151">
        <f>$F$176*Q176*$H$163/1000/$G$176</f>
        <v>521.66739594693934</v>
      </c>
      <c r="S176" s="153">
        <f>MAX(64/R176,(0.25/(LOG(B167/3.7/H163+5.74/R176^0.9))^2))</f>
        <v>0.12268353456099386</v>
      </c>
      <c r="T176" s="149">
        <f>S176*$B$176/$H$163*1000+$C$176</f>
        <v>6.4034061731170375</v>
      </c>
      <c r="U176" s="148">
        <f>T176*$F$175*(Q176^2)/2</f>
        <v>45.339985011125002</v>
      </c>
      <c r="V176" s="205">
        <f>($B$153-V175*$B$160)/$B$161</f>
        <v>3.8572581749665437E-4</v>
      </c>
      <c r="W176" s="149">
        <f>V176/$F$176*1000</f>
        <v>0.89637247446281443</v>
      </c>
      <c r="X176" s="150">
        <f>W176/1000/($H$162/1000000)</f>
        <v>4.9602779978453233</v>
      </c>
      <c r="Y176" s="151">
        <f>$F$176*X176*$H$163/1000/$G$176</f>
        <v>451.07073432028608</v>
      </c>
      <c r="Z176" s="153">
        <f>MAX(64/Y176,(0.25/(LOG(B167/3.7/H163+5.74/Y176^0.9))^2))</f>
        <v>0.14188462059379878</v>
      </c>
      <c r="AA176" s="149">
        <f>Z176*$B$176/$H$163*1000+$C$176</f>
        <v>7.1708337184735695</v>
      </c>
      <c r="AB176" s="148">
        <f>AA176*$F$175*(X176^2)/2</f>
        <v>37.9613708180731</v>
      </c>
      <c r="AC176" s="121"/>
      <c r="AD176" s="122"/>
      <c r="AE176" s="123"/>
      <c r="AF176" s="108"/>
      <c r="AG176" s="206"/>
      <c r="AH176" s="122"/>
      <c r="AI176" s="108"/>
    </row>
    <row r="177" spans="1:39" ht="12" customHeight="1" x14ac:dyDescent="0.2">
      <c r="A177" s="1" t="s">
        <v>357</v>
      </c>
      <c r="B177" s="1"/>
      <c r="D177" s="31">
        <f>IF(B161=0,B153/B160,V175)</f>
        <v>1.9946775178865457E-4</v>
      </c>
      <c r="E177" s="89" t="s">
        <v>327</v>
      </c>
      <c r="F177" s="1"/>
      <c r="G177" s="129"/>
      <c r="H177" s="1"/>
      <c r="I177" s="13"/>
      <c r="J177" s="1"/>
      <c r="K177" s="1"/>
      <c r="L177" s="1"/>
      <c r="M177" s="1" t="s">
        <v>358</v>
      </c>
      <c r="N177" s="26">
        <f>N175-N176</f>
        <v>-13.160904041338448</v>
      </c>
      <c r="O177" s="1"/>
      <c r="P177" s="1"/>
      <c r="Q177" s="1"/>
      <c r="R177" s="1"/>
      <c r="S177" s="1"/>
      <c r="T177" s="1" t="s">
        <v>359</v>
      </c>
      <c r="U177" s="26">
        <f>U175-U176</f>
        <v>-11.343537777646226</v>
      </c>
      <c r="V177" s="1"/>
      <c r="W177" s="1"/>
      <c r="X177" s="1"/>
      <c r="Y177" s="1"/>
      <c r="Z177" s="1"/>
      <c r="AA177" s="1" t="s">
        <v>359</v>
      </c>
      <c r="AB177" s="26">
        <f>AB175-AB176</f>
        <v>-0.11056743584393303</v>
      </c>
      <c r="AC177" s="1"/>
      <c r="AD177" s="1"/>
      <c r="AE177" s="1"/>
      <c r="AG177" s="38"/>
    </row>
    <row r="178" spans="1:39" ht="12" customHeight="1" x14ac:dyDescent="0.2">
      <c r="A178" s="1" t="s">
        <v>360</v>
      </c>
      <c r="B178" s="1"/>
      <c r="D178" s="31">
        <f>IF(B161=0,0,V176)</f>
        <v>3.8572581749665437E-4</v>
      </c>
      <c r="E178" s="1" t="s">
        <v>327</v>
      </c>
      <c r="F178" s="1"/>
      <c r="G178" s="129"/>
      <c r="H178" s="1"/>
      <c r="I178" s="1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G178" s="38"/>
    </row>
    <row r="179" spans="1:39" ht="12" customHeight="1" x14ac:dyDescent="0.2">
      <c r="F179" s="1"/>
      <c r="G179" s="129"/>
      <c r="H179" s="1"/>
      <c r="I179" s="13"/>
      <c r="J179" s="1"/>
      <c r="K179" s="1"/>
      <c r="L179" s="1"/>
      <c r="M179" s="1"/>
      <c r="N179" s="13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G179" s="38"/>
    </row>
    <row r="180" spans="1:39" ht="12" customHeight="1" x14ac:dyDescent="0.2">
      <c r="A180" s="36"/>
      <c r="B180" s="26"/>
      <c r="C180" s="1"/>
      <c r="D180" s="1"/>
      <c r="E180" s="1"/>
      <c r="F180" s="1"/>
      <c r="G180" s="129"/>
      <c r="H180" s="1"/>
      <c r="I180" s="1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G180" s="38"/>
    </row>
    <row r="181" spans="1:39" ht="12" customHeight="1" x14ac:dyDescent="0.2">
      <c r="A181" s="200"/>
      <c r="B181" s="207"/>
      <c r="C181" s="1"/>
      <c r="D181" s="95"/>
      <c r="E181" s="1"/>
      <c r="F181" s="1"/>
      <c r="G181" s="132"/>
      <c r="H181" s="132"/>
      <c r="I181" s="132"/>
      <c r="J181" s="132"/>
      <c r="K181" s="132"/>
      <c r="L181" s="132"/>
      <c r="M181" s="132"/>
      <c r="N181" s="132"/>
      <c r="O181" s="132"/>
      <c r="P181" s="132"/>
      <c r="Q181" s="132"/>
      <c r="R181" s="132"/>
      <c r="S181" s="132"/>
      <c r="T181" s="132"/>
      <c r="U181" s="132"/>
      <c r="V181" s="132" t="s">
        <v>177</v>
      </c>
      <c r="W181" s="131" t="s">
        <v>178</v>
      </c>
      <c r="X181" s="133" t="s">
        <v>180</v>
      </c>
      <c r="Y181" s="134" t="s">
        <v>181</v>
      </c>
      <c r="Z181" s="132" t="s">
        <v>177</v>
      </c>
      <c r="AA181" s="131" t="s">
        <v>178</v>
      </c>
      <c r="AB181" s="133"/>
      <c r="AC181" s="133" t="s">
        <v>361</v>
      </c>
      <c r="AE181" s="1"/>
      <c r="AF181" s="1"/>
      <c r="AG181" s="38"/>
    </row>
    <row r="182" spans="1:39" ht="12" customHeight="1" x14ac:dyDescent="0.2">
      <c r="A182" s="200" t="s">
        <v>350</v>
      </c>
      <c r="B182" s="112" t="s">
        <v>362</v>
      </c>
      <c r="C182" s="112" t="s">
        <v>194</v>
      </c>
      <c r="D182" s="112" t="s">
        <v>195</v>
      </c>
      <c r="E182" s="112"/>
      <c r="F182" s="112"/>
      <c r="G182" s="133" t="s">
        <v>196</v>
      </c>
      <c r="H182" s="133" t="s">
        <v>197</v>
      </c>
      <c r="I182" s="133"/>
      <c r="J182" s="133"/>
      <c r="K182" s="133" t="s">
        <v>198</v>
      </c>
      <c r="L182" s="133" t="s">
        <v>197</v>
      </c>
      <c r="M182" s="133"/>
      <c r="N182" s="133"/>
      <c r="O182" s="133" t="s">
        <v>199</v>
      </c>
      <c r="P182" s="134"/>
      <c r="Q182" s="133" t="s">
        <v>200</v>
      </c>
      <c r="R182" s="133"/>
      <c r="S182" s="133"/>
      <c r="T182" s="138"/>
      <c r="U182" s="133" t="s">
        <v>205</v>
      </c>
      <c r="V182" s="133" t="s">
        <v>205</v>
      </c>
      <c r="W182" s="137" t="s">
        <v>205</v>
      </c>
      <c r="X182" s="133" t="s">
        <v>196</v>
      </c>
      <c r="Y182" s="134" t="s">
        <v>209</v>
      </c>
      <c r="Z182" s="133" t="s">
        <v>205</v>
      </c>
      <c r="AA182" s="137" t="s">
        <v>205</v>
      </c>
      <c r="AB182" s="133" t="s">
        <v>196</v>
      </c>
      <c r="AC182" s="133" t="s">
        <v>205</v>
      </c>
      <c r="AE182" s="14"/>
      <c r="AF182" s="14"/>
      <c r="AG182" s="106"/>
      <c r="AH182" s="28"/>
      <c r="AI182" s="176"/>
      <c r="AJ182" s="109"/>
      <c r="AK182" s="109"/>
      <c r="AL182" s="110"/>
      <c r="AM182" s="110"/>
    </row>
    <row r="183" spans="1:39" ht="12" customHeight="1" x14ac:dyDescent="0.25">
      <c r="A183" s="204" t="s">
        <v>352</v>
      </c>
      <c r="B183" s="112" t="s">
        <v>214</v>
      </c>
      <c r="C183" s="115" t="s">
        <v>243</v>
      </c>
      <c r="D183" s="112" t="s">
        <v>243</v>
      </c>
      <c r="E183" s="115" t="s">
        <v>244</v>
      </c>
      <c r="F183" s="115" t="s">
        <v>245</v>
      </c>
      <c r="G183" s="133" t="s">
        <v>246</v>
      </c>
      <c r="H183" s="133" t="s">
        <v>247</v>
      </c>
      <c r="I183" s="134" t="s">
        <v>248</v>
      </c>
      <c r="J183" s="134" t="s">
        <v>249</v>
      </c>
      <c r="K183" s="133" t="s">
        <v>250</v>
      </c>
      <c r="L183" s="133" t="s">
        <v>250</v>
      </c>
      <c r="M183" s="134" t="s">
        <v>251</v>
      </c>
      <c r="N183" s="134" t="s">
        <v>252</v>
      </c>
      <c r="O183" s="134" t="s">
        <v>253</v>
      </c>
      <c r="P183" s="134" t="s">
        <v>254</v>
      </c>
      <c r="Q183" s="133" t="s">
        <v>255</v>
      </c>
      <c r="R183" s="133" t="s">
        <v>256</v>
      </c>
      <c r="S183" s="133" t="s">
        <v>257</v>
      </c>
      <c r="T183" s="133" t="s">
        <v>257</v>
      </c>
      <c r="U183" s="133" t="s">
        <v>262</v>
      </c>
      <c r="V183" s="134" t="s">
        <v>263</v>
      </c>
      <c r="W183" s="139" t="s">
        <v>263</v>
      </c>
      <c r="X183" s="134" t="s">
        <v>253</v>
      </c>
      <c r="Y183" s="134" t="s">
        <v>47</v>
      </c>
      <c r="Z183" s="134" t="s">
        <v>263</v>
      </c>
      <c r="AA183" s="139" t="s">
        <v>263</v>
      </c>
      <c r="AB183" s="134" t="s">
        <v>253</v>
      </c>
      <c r="AC183" s="133" t="s">
        <v>263</v>
      </c>
      <c r="AD183"/>
      <c r="AE183"/>
      <c r="AF183"/>
      <c r="AG183"/>
      <c r="AH183"/>
      <c r="AI183"/>
      <c r="AJ183"/>
      <c r="AK183" s="109"/>
      <c r="AL183" s="110"/>
      <c r="AM183" s="110"/>
    </row>
    <row r="184" spans="1:39" ht="12" customHeight="1" x14ac:dyDescent="0.25">
      <c r="A184" s="204" t="s">
        <v>354</v>
      </c>
      <c r="B184" s="112" t="s">
        <v>47</v>
      </c>
      <c r="C184" s="115" t="s">
        <v>61</v>
      </c>
      <c r="D184" s="112" t="s">
        <v>61</v>
      </c>
      <c r="E184" s="115" t="s">
        <v>271</v>
      </c>
      <c r="F184" s="115" t="s">
        <v>272</v>
      </c>
      <c r="G184" s="133" t="s">
        <v>273</v>
      </c>
      <c r="H184" s="134" t="s">
        <v>274</v>
      </c>
      <c r="I184" s="134" t="s">
        <v>275</v>
      </c>
      <c r="J184" s="134" t="s">
        <v>276</v>
      </c>
      <c r="K184" s="133" t="s">
        <v>277</v>
      </c>
      <c r="L184" s="133" t="s">
        <v>277</v>
      </c>
      <c r="M184" s="134" t="s">
        <v>278</v>
      </c>
      <c r="N184" s="134" t="s">
        <v>279</v>
      </c>
      <c r="O184" s="134" t="s">
        <v>280</v>
      </c>
      <c r="P184" s="134" t="s">
        <v>278</v>
      </c>
      <c r="Q184" s="133" t="s">
        <v>281</v>
      </c>
      <c r="R184" s="133" t="s">
        <v>282</v>
      </c>
      <c r="S184" s="133" t="s">
        <v>283</v>
      </c>
      <c r="T184" s="133" t="s">
        <v>260</v>
      </c>
      <c r="U184" s="133" t="s">
        <v>285</v>
      </c>
      <c r="V184" s="134" t="s">
        <v>286</v>
      </c>
      <c r="W184" s="139" t="s">
        <v>286</v>
      </c>
      <c r="X184" s="134" t="s">
        <v>13</v>
      </c>
      <c r="Y184" s="143">
        <f>B154</f>
        <v>1034.2609350901587</v>
      </c>
      <c r="Z184" s="134" t="s">
        <v>286</v>
      </c>
      <c r="AA184" s="139" t="s">
        <v>286</v>
      </c>
      <c r="AB184" s="134" t="s">
        <v>13</v>
      </c>
      <c r="AC184" s="133" t="s">
        <v>286</v>
      </c>
      <c r="AD184"/>
      <c r="AE184"/>
      <c r="AF184"/>
      <c r="AG184"/>
      <c r="AH184"/>
      <c r="AI184"/>
      <c r="AJ184"/>
      <c r="AK184" s="109"/>
      <c r="AL184" s="110"/>
      <c r="AM184" s="110"/>
    </row>
    <row r="185" spans="1:39" ht="12" customHeight="1" x14ac:dyDescent="0.25">
      <c r="A185" s="200" t="s">
        <v>363</v>
      </c>
      <c r="B185" s="37">
        <f>B156</f>
        <v>161.00127538118977</v>
      </c>
      <c r="C185" s="115">
        <v>0</v>
      </c>
      <c r="D185" s="1">
        <f>C185</f>
        <v>0</v>
      </c>
      <c r="E185" s="118">
        <v>0.5</v>
      </c>
      <c r="F185" s="118">
        <f t="shared" ref="F185:F211" si="65">IF(C185=0,E185,N185*C185/B$165*1000)</f>
        <v>0.5</v>
      </c>
      <c r="G185" s="147">
        <f>B154</f>
        <v>1034.2609350901587</v>
      </c>
      <c r="H185" s="148">
        <f t="shared" ref="H185:H211" si="66">20.583*G185^-0.619</f>
        <v>0.28018999852868637</v>
      </c>
      <c r="I185" s="149">
        <f t="shared" ref="I185:I211" si="67">$D$177/H185*1000</f>
        <v>0.71190175536630618</v>
      </c>
      <c r="J185" s="150">
        <f t="shared" ref="J185:J211" si="68">I185/1000/(($B$165/1000)^2/4*PI())</f>
        <v>9.6532138522424198</v>
      </c>
      <c r="K185" s="151">
        <f t="shared" ref="K185:K211" si="69">-0.0000000000088144*B185^2+0.000000038157*B185+0.000018526</f>
        <v>2.4440843982471892E-5</v>
      </c>
      <c r="L185" s="151">
        <f t="shared" ref="L185:L211" si="70">-0.0000000000088144*G185^2+0.000000038157*G185+0.000018526</f>
        <v>4.8561568882105084E-5</v>
      </c>
      <c r="M185" s="152">
        <f t="shared" ref="M185:M211" si="71">4*$D$177/PI()/L185/($B$165/1000)</f>
        <v>539.7106336024317</v>
      </c>
      <c r="N185" s="153">
        <f t="shared" ref="N185:N211" si="72">MAX(64/M185,(0.25/(LOG(B$167/3.7/B$165+5.74/M185^0.9))^2))</f>
        <v>0.11858206234110345</v>
      </c>
      <c r="O185" s="154">
        <f t="shared" ref="O185:O211" si="73">$F185*H185*(J185^2)/2</f>
        <v>6.5273438686624887</v>
      </c>
      <c r="P185" s="155">
        <f t="shared" ref="P185:P211" si="74">-0.00000000012044*G185^3+0.00000024927*G185^2-0.00010926*G185+0.69512</f>
        <v>0.71551156654587789</v>
      </c>
      <c r="Q185" s="154">
        <f t="shared" ref="Q185:Q211" si="75">0.000050069*G185+0.030201</f>
        <v>8.1985410759029154E-2</v>
      </c>
      <c r="R185" s="154">
        <v>0</v>
      </c>
      <c r="S185" s="154">
        <v>1</v>
      </c>
      <c r="T185" s="154">
        <f t="shared" ref="T185:T211" si="76">IF($C185=0,0,(IF(M185&lt;2500,MAX(1.86*M185^0.33333*P185^0.33333*S185*(L185/K185)^0.14,3.66)*B$158,0.023*M185^0.8*P185^0.33*S185)))</f>
        <v>0</v>
      </c>
      <c r="U185" s="154">
        <f>T185*Q185/$B165*1000</f>
        <v>0</v>
      </c>
      <c r="V185" s="157">
        <f t="shared" ref="V185:V211" si="77">U185*(G185-B185)*$C185*PI()*$B$165/1000</f>
        <v>0</v>
      </c>
      <c r="W185" s="158">
        <f t="shared" ref="W185:W211" si="78">0.000000056703*H$166*((G185+273)^4-(B185+273)^4)*C185*B$165*PI()/1000</f>
        <v>0</v>
      </c>
      <c r="X185" s="157">
        <f t="shared" ref="X185:X211" si="79">(V185+W185)/1000/$B$155/$D$177</f>
        <v>0</v>
      </c>
      <c r="Y185" s="143">
        <f t="shared" ref="Y185:Y211" si="80">G185-X185/2</f>
        <v>1034.2609350901587</v>
      </c>
      <c r="Z185" s="157">
        <f t="shared" ref="Z185:Z211" si="81">U185*(Y185-B185)*$C185*PI()*$B$165/1000</f>
        <v>0</v>
      </c>
      <c r="AA185" s="158">
        <f t="shared" ref="AA185:AA211" si="82">0.000000056703*H$166*((Y185+273)^4-(B185+273)^4)*C185*B$165*PI()/1000</f>
        <v>0</v>
      </c>
      <c r="AB185" s="157">
        <f t="shared" ref="AB185:AB211" si="83">(Z185+AA185)/1000/$B$155/$D$177</f>
        <v>0</v>
      </c>
      <c r="AC185" s="157">
        <f>Z185</f>
        <v>0</v>
      </c>
      <c r="AD185"/>
      <c r="AE185"/>
      <c r="AF185"/>
      <c r="AG185"/>
      <c r="AH185"/>
      <c r="AI185"/>
      <c r="AJ185"/>
      <c r="AK185" s="175"/>
      <c r="AL185" s="208"/>
      <c r="AM185" s="208"/>
    </row>
    <row r="186" spans="1:39" ht="12" customHeight="1" x14ac:dyDescent="0.25">
      <c r="A186" s="200" t="s">
        <v>364</v>
      </c>
      <c r="B186" s="37">
        <f t="shared" ref="B186:B211" si="84">B185</f>
        <v>161.00127538118977</v>
      </c>
      <c r="C186" s="161">
        <f t="shared" ref="C186:C210" si="85">B$166/25</f>
        <v>1.2129032258064519E-2</v>
      </c>
      <c r="D186" s="26">
        <f t="shared" ref="D186:D211" si="86">D185+C186</f>
        <v>1.2129032258064519E-2</v>
      </c>
      <c r="E186" s="118">
        <v>0</v>
      </c>
      <c r="F186" s="118">
        <f t="shared" si="65"/>
        <v>0.14842806398197572</v>
      </c>
      <c r="G186" s="147">
        <f t="shared" ref="G186:G211" si="87">G185-AB185</f>
        <v>1034.2609350901587</v>
      </c>
      <c r="H186" s="148">
        <f t="shared" si="66"/>
        <v>0.28018999852868637</v>
      </c>
      <c r="I186" s="149">
        <f t="shared" si="67"/>
        <v>0.71190175536630618</v>
      </c>
      <c r="J186" s="150">
        <f t="shared" si="68"/>
        <v>9.6532138522424198</v>
      </c>
      <c r="K186" s="151">
        <f t="shared" si="69"/>
        <v>2.4440843982471892E-5</v>
      </c>
      <c r="L186" s="151">
        <f t="shared" si="70"/>
        <v>4.8561568882105084E-5</v>
      </c>
      <c r="M186" s="152">
        <f t="shared" si="71"/>
        <v>539.7106336024317</v>
      </c>
      <c r="N186" s="153">
        <f t="shared" si="72"/>
        <v>0.11858206234110345</v>
      </c>
      <c r="O186" s="154">
        <f t="shared" si="73"/>
        <v>1.9376820267403858</v>
      </c>
      <c r="P186" s="155">
        <f t="shared" si="74"/>
        <v>0.71551156654587789</v>
      </c>
      <c r="Q186" s="154">
        <f t="shared" si="75"/>
        <v>8.1985410759029154E-2</v>
      </c>
      <c r="R186" s="154">
        <f t="shared" ref="R186:R210" si="88">IF(M186&lt;2500,($B$165/1000/$D186)^0.333333,1+($B$165/1000/D186)^0.7)</f>
        <v>0.92789967932657491</v>
      </c>
      <c r="S186" s="154">
        <f t="shared" ref="S186:S210" si="89">(R186*D186-R185*D185)/(D186-D185)</f>
        <v>0.92789967932657502</v>
      </c>
      <c r="T186" s="154">
        <f t="shared" si="76"/>
        <v>22.137534526155136</v>
      </c>
      <c r="U186" s="154">
        <f t="shared" ref="U186:U211" si="90">T186*Q186/($B$165/1000)</f>
        <v>187.29953575394435</v>
      </c>
      <c r="V186" s="157">
        <f t="shared" si="77"/>
        <v>60.392811852835734</v>
      </c>
      <c r="W186" s="158">
        <f t="shared" si="78"/>
        <v>0.52448289548592852</v>
      </c>
      <c r="X186" s="157">
        <f t="shared" si="79"/>
        <v>275.13442763097419</v>
      </c>
      <c r="Y186" s="143">
        <f t="shared" si="80"/>
        <v>896.69372127467159</v>
      </c>
      <c r="Z186" s="157">
        <f t="shared" si="81"/>
        <v>50.878951034111601</v>
      </c>
      <c r="AA186" s="158">
        <f t="shared" si="82"/>
        <v>0.33386349507021662</v>
      </c>
      <c r="AB186" s="157">
        <f t="shared" si="83"/>
        <v>231.30390919478387</v>
      </c>
      <c r="AC186" s="157">
        <f t="shared" ref="AC186:AC211" si="91">Z186+AA186+AC185</f>
        <v>51.21281452918182</v>
      </c>
      <c r="AD186"/>
      <c r="AE186"/>
      <c r="AF186"/>
      <c r="AG186"/>
      <c r="AH186"/>
      <c r="AI186"/>
      <c r="AJ186"/>
      <c r="AK186" s="175"/>
      <c r="AL186" s="208"/>
      <c r="AM186" s="208"/>
    </row>
    <row r="187" spans="1:39" ht="12" customHeight="1" x14ac:dyDescent="0.25">
      <c r="A187" s="200" t="s">
        <v>364</v>
      </c>
      <c r="B187" s="37">
        <f t="shared" si="84"/>
        <v>161.00127538118977</v>
      </c>
      <c r="C187" s="161">
        <f t="shared" si="85"/>
        <v>1.2129032258064519E-2</v>
      </c>
      <c r="D187" s="26">
        <f t="shared" si="86"/>
        <v>2.4258064516129038E-2</v>
      </c>
      <c r="E187" s="118">
        <v>0</v>
      </c>
      <c r="F187" s="118">
        <f t="shared" si="65"/>
        <v>0.13290067394909369</v>
      </c>
      <c r="G187" s="147">
        <f t="shared" si="87"/>
        <v>802.95702589537484</v>
      </c>
      <c r="H187" s="148">
        <f t="shared" si="66"/>
        <v>0.32772089992889336</v>
      </c>
      <c r="I187" s="149">
        <f t="shared" si="67"/>
        <v>0.60865130002979273</v>
      </c>
      <c r="J187" s="150">
        <f t="shared" si="68"/>
        <v>8.2531629067409291</v>
      </c>
      <c r="K187" s="151">
        <f t="shared" si="69"/>
        <v>2.4440843982471892E-5</v>
      </c>
      <c r="L187" s="151">
        <f t="shared" si="70"/>
        <v>4.34814351094738E-5</v>
      </c>
      <c r="M187" s="152">
        <f t="shared" si="71"/>
        <v>602.76748097439338</v>
      </c>
      <c r="N187" s="153">
        <f t="shared" si="72"/>
        <v>0.10617692894869163</v>
      </c>
      <c r="O187" s="154">
        <f t="shared" si="73"/>
        <v>1.4833449643291634</v>
      </c>
      <c r="P187" s="155">
        <f t="shared" si="74"/>
        <v>0.70575164403780966</v>
      </c>
      <c r="Q187" s="154">
        <f t="shared" si="75"/>
        <v>7.0404255329555521E-2</v>
      </c>
      <c r="R187" s="154">
        <f t="shared" si="88"/>
        <v>0.73647463370373234</v>
      </c>
      <c r="S187" s="154">
        <f t="shared" si="89"/>
        <v>0.54504958808088966</v>
      </c>
      <c r="T187" s="154">
        <f t="shared" si="76"/>
        <v>13.223721419024557</v>
      </c>
      <c r="U187" s="154">
        <f t="shared" si="90"/>
        <v>96.077893641902449</v>
      </c>
      <c r="V187" s="157">
        <f t="shared" si="77"/>
        <v>22.773706436435443</v>
      </c>
      <c r="W187" s="158">
        <f t="shared" si="78"/>
        <v>0.23720216754994122</v>
      </c>
      <c r="X187" s="157">
        <f t="shared" si="79"/>
        <v>103.92932243926683</v>
      </c>
      <c r="Y187" s="143">
        <f t="shared" si="80"/>
        <v>750.99236467574144</v>
      </c>
      <c r="Z187" s="157">
        <f t="shared" si="81"/>
        <v>20.930233675677609</v>
      </c>
      <c r="AA187" s="158">
        <f t="shared" si="82"/>
        <v>0.19343374602834407</v>
      </c>
      <c r="AB187" s="157">
        <f t="shared" si="83"/>
        <v>95.405552225351343</v>
      </c>
      <c r="AC187" s="157">
        <f t="shared" si="91"/>
        <v>72.336481950887773</v>
      </c>
      <c r="AD187"/>
      <c r="AE187"/>
      <c r="AF187"/>
      <c r="AG187"/>
      <c r="AH187"/>
      <c r="AI187"/>
      <c r="AJ187"/>
      <c r="AK187" s="175"/>
      <c r="AL187" s="208"/>
      <c r="AM187" s="208"/>
    </row>
    <row r="188" spans="1:39" ht="12" customHeight="1" x14ac:dyDescent="0.25">
      <c r="A188" s="200" t="s">
        <v>364</v>
      </c>
      <c r="B188" s="37">
        <f t="shared" si="84"/>
        <v>161.00127538118977</v>
      </c>
      <c r="C188" s="161">
        <f t="shared" si="85"/>
        <v>1.2129032258064519E-2</v>
      </c>
      <c r="D188" s="26">
        <f t="shared" si="86"/>
        <v>3.6387096774193557E-2</v>
      </c>
      <c r="E188" s="118">
        <v>0</v>
      </c>
      <c r="F188" s="118">
        <f t="shared" si="65"/>
        <v>0.12565636355979207</v>
      </c>
      <c r="G188" s="147">
        <f t="shared" si="87"/>
        <v>707.55147367002348</v>
      </c>
      <c r="H188" s="148">
        <f t="shared" si="66"/>
        <v>0.35441202381965448</v>
      </c>
      <c r="I188" s="149">
        <f t="shared" si="67"/>
        <v>0.56281316203356413</v>
      </c>
      <c r="J188" s="150">
        <f t="shared" si="68"/>
        <v>7.6316089558892193</v>
      </c>
      <c r="K188" s="151">
        <f t="shared" si="69"/>
        <v>2.4440843982471892E-5</v>
      </c>
      <c r="L188" s="151">
        <f t="shared" si="70"/>
        <v>4.1111296548506359E-5</v>
      </c>
      <c r="M188" s="152">
        <f t="shared" si="71"/>
        <v>637.51808652313809</v>
      </c>
      <c r="N188" s="153">
        <f t="shared" si="72"/>
        <v>0.1003893087159923</v>
      </c>
      <c r="O188" s="154">
        <f t="shared" si="73"/>
        <v>1.2968661567384869</v>
      </c>
      <c r="P188" s="155">
        <f t="shared" si="74"/>
        <v>0.69994237968423034</v>
      </c>
      <c r="Q188" s="154">
        <f t="shared" si="75"/>
        <v>6.5627394735184405E-2</v>
      </c>
      <c r="R188" s="154">
        <f t="shared" si="88"/>
        <v>0.64336993973208345</v>
      </c>
      <c r="S188" s="154">
        <f t="shared" si="89"/>
        <v>0.45716055178878579</v>
      </c>
      <c r="T188" s="154">
        <f t="shared" si="76"/>
        <v>11.181397142262332</v>
      </c>
      <c r="U188" s="154">
        <f t="shared" si="90"/>
        <v>75.727236698711593</v>
      </c>
      <c r="V188" s="157">
        <f t="shared" si="77"/>
        <v>15.282250603551109</v>
      </c>
      <c r="W188" s="158">
        <f t="shared" si="78"/>
        <v>0.16161304406759172</v>
      </c>
      <c r="X188" s="157">
        <f t="shared" si="79"/>
        <v>69.752581802156413</v>
      </c>
      <c r="Y188" s="143">
        <f t="shared" si="80"/>
        <v>672.67518276894532</v>
      </c>
      <c r="Z188" s="157">
        <f t="shared" si="81"/>
        <v>14.307064391303211</v>
      </c>
      <c r="AA188" s="158">
        <f t="shared" si="82"/>
        <v>0.13894806882097707</v>
      </c>
      <c r="AB188" s="157">
        <f t="shared" si="83"/>
        <v>65.245762901769268</v>
      </c>
      <c r="AC188" s="157">
        <f t="shared" si="91"/>
        <v>86.782494411011953</v>
      </c>
      <c r="AD188"/>
      <c r="AE188"/>
      <c r="AF188"/>
      <c r="AG188"/>
      <c r="AH188"/>
      <c r="AI188"/>
      <c r="AJ188"/>
      <c r="AK188" s="175"/>
      <c r="AL188" s="208"/>
      <c r="AM188" s="208"/>
    </row>
    <row r="189" spans="1:39" ht="12" customHeight="1" x14ac:dyDescent="0.25">
      <c r="A189" s="200" t="s">
        <v>364</v>
      </c>
      <c r="B189" s="37">
        <f t="shared" si="84"/>
        <v>161.00127538118977</v>
      </c>
      <c r="C189" s="161">
        <f t="shared" si="85"/>
        <v>1.2129032258064519E-2</v>
      </c>
      <c r="D189" s="26">
        <f t="shared" si="86"/>
        <v>4.8516129032258076E-2</v>
      </c>
      <c r="E189" s="118">
        <v>0</v>
      </c>
      <c r="F189" s="118">
        <f t="shared" si="65"/>
        <v>0.12164561544811744</v>
      </c>
      <c r="G189" s="147">
        <f t="shared" si="87"/>
        <v>642.30571076825424</v>
      </c>
      <c r="H189" s="148">
        <f t="shared" si="66"/>
        <v>0.37628465683825058</v>
      </c>
      <c r="I189" s="149">
        <f t="shared" si="67"/>
        <v>0.5300980206439766</v>
      </c>
      <c r="J189" s="150">
        <f t="shared" si="68"/>
        <v>7.1879996324685473</v>
      </c>
      <c r="K189" s="151">
        <f t="shared" si="69"/>
        <v>2.4440843982471892E-5</v>
      </c>
      <c r="L189" s="151">
        <f t="shared" si="70"/>
        <v>3.9398019880816141E-5</v>
      </c>
      <c r="M189" s="152">
        <f t="shared" si="71"/>
        <v>665.24143064486759</v>
      </c>
      <c r="N189" s="153">
        <f t="shared" si="72"/>
        <v>9.7185044172928434E-2</v>
      </c>
      <c r="O189" s="154">
        <f t="shared" si="73"/>
        <v>1.1824943298326902</v>
      </c>
      <c r="P189" s="155">
        <f t="shared" si="74"/>
        <v>0.69586457650193723</v>
      </c>
      <c r="Q189" s="154">
        <f t="shared" si="75"/>
        <v>6.236060463245572E-2</v>
      </c>
      <c r="R189" s="154">
        <f t="shared" si="88"/>
        <v>0.58454043920210308</v>
      </c>
      <c r="S189" s="154">
        <f t="shared" si="89"/>
        <v>0.40805193761216196</v>
      </c>
      <c r="T189" s="154">
        <f t="shared" si="76"/>
        <v>10.043173677266855</v>
      </c>
      <c r="U189" s="154">
        <f t="shared" si="90"/>
        <v>64.632679781050655</v>
      </c>
      <c r="V189" s="157">
        <f t="shared" si="77"/>
        <v>11.486221264450201</v>
      </c>
      <c r="W189" s="158">
        <f t="shared" si="78"/>
        <v>0.1211513856860934</v>
      </c>
      <c r="X189" s="157">
        <f t="shared" si="79"/>
        <v>52.424977891564367</v>
      </c>
      <c r="Y189" s="143">
        <f t="shared" si="80"/>
        <v>616.09322182247206</v>
      </c>
      <c r="Z189" s="157">
        <f t="shared" si="81"/>
        <v>10.860666156733233</v>
      </c>
      <c r="AA189" s="158">
        <f t="shared" si="82"/>
        <v>0.10715041884135001</v>
      </c>
      <c r="AB189" s="157">
        <f t="shared" si="83"/>
        <v>49.53640749067182</v>
      </c>
      <c r="AC189" s="157">
        <f t="shared" si="91"/>
        <v>97.750310986586541</v>
      </c>
      <c r="AD189"/>
      <c r="AE189"/>
      <c r="AF189"/>
      <c r="AG189"/>
      <c r="AH189"/>
      <c r="AI189"/>
      <c r="AJ189"/>
      <c r="AK189" s="175"/>
      <c r="AL189" s="208"/>
      <c r="AM189" s="208"/>
    </row>
    <row r="190" spans="1:39" ht="12" customHeight="1" x14ac:dyDescent="0.25">
      <c r="A190" s="200" t="s">
        <v>364</v>
      </c>
      <c r="B190" s="37">
        <f t="shared" si="84"/>
        <v>161.00127538118977</v>
      </c>
      <c r="C190" s="161">
        <f t="shared" si="85"/>
        <v>1.2129032258064519E-2</v>
      </c>
      <c r="D190" s="26">
        <f t="shared" si="86"/>
        <v>6.0645161290322595E-2</v>
      </c>
      <c r="E190" s="118">
        <v>0</v>
      </c>
      <c r="F190" s="118">
        <f t="shared" si="65"/>
        <v>0.12029094274329129</v>
      </c>
      <c r="G190" s="147">
        <f t="shared" si="87"/>
        <v>592.76930327758237</v>
      </c>
      <c r="H190" s="148">
        <f t="shared" si="66"/>
        <v>0.39545076711645788</v>
      </c>
      <c r="I190" s="149">
        <f t="shared" si="67"/>
        <v>0.50440603072572243</v>
      </c>
      <c r="J190" s="150">
        <f t="shared" si="68"/>
        <v>6.8396225269184274</v>
      </c>
      <c r="K190" s="151">
        <f t="shared" si="69"/>
        <v>2.4440843982471892E-5</v>
      </c>
      <c r="L190" s="151">
        <f t="shared" si="70"/>
        <v>3.804713456593516E-5</v>
      </c>
      <c r="M190" s="152">
        <f t="shared" si="71"/>
        <v>688.86120884264994</v>
      </c>
      <c r="N190" s="153">
        <f t="shared" si="72"/>
        <v>9.6102769845379479E-2</v>
      </c>
      <c r="O190" s="154">
        <f t="shared" si="73"/>
        <v>1.1126526926973854</v>
      </c>
      <c r="P190" s="155">
        <f t="shared" si="74"/>
        <v>0.69285558889768672</v>
      </c>
      <c r="Q190" s="154">
        <f t="shared" si="75"/>
        <v>5.9880366245805269E-2</v>
      </c>
      <c r="R190" s="154">
        <f t="shared" si="88"/>
        <v>0.54263931544127131</v>
      </c>
      <c r="S190" s="154">
        <f t="shared" si="89"/>
        <v>0.37503482039794434</v>
      </c>
      <c r="T190" s="154">
        <f t="shared" si="76"/>
        <v>9.2795990854853088</v>
      </c>
      <c r="U190" s="154">
        <f t="shared" si="90"/>
        <v>57.343544496085315</v>
      </c>
      <c r="V190" s="157">
        <f t="shared" si="77"/>
        <v>9.1419778596837311</v>
      </c>
      <c r="W190" s="158">
        <f t="shared" si="78"/>
        <v>9.5690858163502188E-2</v>
      </c>
      <c r="X190" s="157">
        <f t="shared" si="79"/>
        <v>41.722153057354497</v>
      </c>
      <c r="Y190" s="143">
        <f t="shared" si="80"/>
        <v>571.90822674890512</v>
      </c>
      <c r="Z190" s="157">
        <f t="shared" si="81"/>
        <v>8.700278874505285</v>
      </c>
      <c r="AA190" s="158">
        <f t="shared" si="82"/>
        <v>8.6196487363608701E-2</v>
      </c>
      <c r="AB190" s="157">
        <f t="shared" si="83"/>
        <v>39.684327407662138</v>
      </c>
      <c r="AC190" s="157">
        <f t="shared" si="91"/>
        <v>106.53678634845544</v>
      </c>
      <c r="AD190"/>
      <c r="AE190"/>
      <c r="AF190"/>
      <c r="AG190"/>
      <c r="AH190"/>
      <c r="AI190"/>
      <c r="AJ190"/>
      <c r="AK190" s="175"/>
      <c r="AL190" s="208"/>
      <c r="AM190" s="208"/>
    </row>
    <row r="191" spans="1:39" ht="12" customHeight="1" x14ac:dyDescent="0.25">
      <c r="A191" s="200" t="s">
        <v>364</v>
      </c>
      <c r="B191" s="37">
        <f t="shared" si="84"/>
        <v>161.00127538118977</v>
      </c>
      <c r="C191" s="161">
        <f t="shared" si="85"/>
        <v>1.2129032258064519E-2</v>
      </c>
      <c r="D191" s="26">
        <f t="shared" si="86"/>
        <v>7.2774193548387114E-2</v>
      </c>
      <c r="E191" s="118">
        <v>0</v>
      </c>
      <c r="F191" s="118">
        <f t="shared" si="65"/>
        <v>0.11916666591218464</v>
      </c>
      <c r="G191" s="147">
        <f t="shared" si="87"/>
        <v>553.08497586992019</v>
      </c>
      <c r="H191" s="148">
        <f t="shared" si="66"/>
        <v>0.4127817727648177</v>
      </c>
      <c r="I191" s="149">
        <f t="shared" si="67"/>
        <v>0.48322810005058353</v>
      </c>
      <c r="J191" s="150">
        <f t="shared" si="68"/>
        <v>6.5524549617114989</v>
      </c>
      <c r="K191" s="151">
        <f t="shared" si="69"/>
        <v>2.4440843982471892E-5</v>
      </c>
      <c r="L191" s="151">
        <f t="shared" si="70"/>
        <v>3.6933712104514204E-5</v>
      </c>
      <c r="M191" s="152">
        <f t="shared" si="71"/>
        <v>709.6279690468931</v>
      </c>
      <c r="N191" s="153">
        <f t="shared" si="72"/>
        <v>9.5204563254938895E-2</v>
      </c>
      <c r="O191" s="154">
        <f t="shared" si="73"/>
        <v>1.0559744101313269</v>
      </c>
      <c r="P191" s="155">
        <f t="shared" si="74"/>
        <v>0.69056508845694076</v>
      </c>
      <c r="Q191" s="154">
        <f t="shared" si="75"/>
        <v>5.7893411656831033E-2</v>
      </c>
      <c r="R191" s="154">
        <f t="shared" si="88"/>
        <v>0.51064317755132582</v>
      </c>
      <c r="S191" s="154">
        <f t="shared" si="89"/>
        <v>0.35066248810159817</v>
      </c>
      <c r="T191" s="154">
        <f t="shared" si="76"/>
        <v>8.7168852774973598</v>
      </c>
      <c r="U191" s="154">
        <f t="shared" si="90"/>
        <v>52.078845258054002</v>
      </c>
      <c r="V191" s="157">
        <f t="shared" si="77"/>
        <v>7.5395475712134825</v>
      </c>
      <c r="W191" s="158">
        <f t="shared" si="78"/>
        <v>7.8212235518174383E-2</v>
      </c>
      <c r="X191" s="157">
        <f t="shared" si="79"/>
        <v>34.40579547917465</v>
      </c>
      <c r="Y191" s="143">
        <f t="shared" si="80"/>
        <v>535.88207813033284</v>
      </c>
      <c r="Z191" s="157">
        <f t="shared" si="81"/>
        <v>7.2087455875843069</v>
      </c>
      <c r="AA191" s="158">
        <f t="shared" si="82"/>
        <v>7.1377257157437812E-2</v>
      </c>
      <c r="AB191" s="157">
        <f t="shared" si="83"/>
        <v>32.88085001552674</v>
      </c>
      <c r="AC191" s="157">
        <f t="shared" si="91"/>
        <v>113.81690919319718</v>
      </c>
      <c r="AD191"/>
      <c r="AE191"/>
      <c r="AF191"/>
      <c r="AG191"/>
      <c r="AH191"/>
      <c r="AI191"/>
      <c r="AJ191"/>
      <c r="AK191" s="175"/>
      <c r="AL191" s="208"/>
      <c r="AM191" s="208"/>
    </row>
    <row r="192" spans="1:39" ht="12" customHeight="1" x14ac:dyDescent="0.25">
      <c r="A192" s="200" t="s">
        <v>364</v>
      </c>
      <c r="B192" s="37">
        <f t="shared" si="84"/>
        <v>161.00127538118977</v>
      </c>
      <c r="C192" s="161">
        <f t="shared" si="85"/>
        <v>1.2129032258064519E-2</v>
      </c>
      <c r="D192" s="26">
        <f t="shared" si="86"/>
        <v>8.4903225806451627E-2</v>
      </c>
      <c r="E192" s="118">
        <v>0</v>
      </c>
      <c r="F192" s="118">
        <f t="shared" si="65"/>
        <v>0.11820819277272168</v>
      </c>
      <c r="G192" s="147">
        <f t="shared" si="87"/>
        <v>520.2041258543934</v>
      </c>
      <c r="H192" s="148">
        <f t="shared" si="66"/>
        <v>0.42874305341317709</v>
      </c>
      <c r="I192" s="149">
        <f t="shared" si="67"/>
        <v>0.46523844573273754</v>
      </c>
      <c r="J192" s="150">
        <f t="shared" si="68"/>
        <v>6.308519644866089</v>
      </c>
      <c r="K192" s="151">
        <f t="shared" si="69"/>
        <v>2.4440843982471892E-5</v>
      </c>
      <c r="L192" s="151">
        <f t="shared" si="70"/>
        <v>3.599014348614507E-5</v>
      </c>
      <c r="M192" s="152">
        <f t="shared" si="71"/>
        <v>728.23258179503171</v>
      </c>
      <c r="N192" s="153">
        <f t="shared" si="72"/>
        <v>9.4438820453160724E-2</v>
      </c>
      <c r="O192" s="154">
        <f t="shared" si="73"/>
        <v>1.0084853603701456</v>
      </c>
      <c r="P192" s="155">
        <f t="shared" si="74"/>
        <v>0.68878325471020796</v>
      </c>
      <c r="Q192" s="154">
        <f t="shared" si="75"/>
        <v>5.6247100377403617E-2</v>
      </c>
      <c r="R192" s="154">
        <f t="shared" si="88"/>
        <v>0.48506725675921913</v>
      </c>
      <c r="S192" s="154">
        <f t="shared" si="89"/>
        <v>0.33161173200657912</v>
      </c>
      <c r="T192" s="154">
        <f t="shared" si="76"/>
        <v>8.2775308450633478</v>
      </c>
      <c r="U192" s="154">
        <f t="shared" si="90"/>
        <v>48.047613249101261</v>
      </c>
      <c r="V192" s="157">
        <f t="shared" si="77"/>
        <v>6.3726012550528406</v>
      </c>
      <c r="W192" s="158">
        <f t="shared" si="78"/>
        <v>6.5516563657370616E-2</v>
      </c>
      <c r="X192" s="157">
        <f t="shared" si="79"/>
        <v>29.077914053634373</v>
      </c>
      <c r="Y192" s="143">
        <f t="shared" si="80"/>
        <v>505.66516882757622</v>
      </c>
      <c r="Z192" s="157">
        <f t="shared" si="81"/>
        <v>6.1146662869026738</v>
      </c>
      <c r="AA192" s="158">
        <f t="shared" si="82"/>
        <v>6.0383458765802617E-2</v>
      </c>
      <c r="AB192" s="157">
        <f t="shared" si="83"/>
        <v>27.889760771330007</v>
      </c>
      <c r="AC192" s="157">
        <f t="shared" si="91"/>
        <v>119.99195893886565</v>
      </c>
      <c r="AD192"/>
      <c r="AE192"/>
      <c r="AF192"/>
      <c r="AG192"/>
      <c r="AH192"/>
      <c r="AI192"/>
      <c r="AJ192"/>
      <c r="AK192" s="175"/>
      <c r="AL192" s="208"/>
      <c r="AM192" s="208"/>
    </row>
    <row r="193" spans="1:39" ht="12" customHeight="1" x14ac:dyDescent="0.25">
      <c r="A193" s="200" t="s">
        <v>364</v>
      </c>
      <c r="B193" s="37">
        <f t="shared" si="84"/>
        <v>161.00127538118977</v>
      </c>
      <c r="C193" s="161">
        <f t="shared" si="85"/>
        <v>1.2129032258064519E-2</v>
      </c>
      <c r="D193" s="26">
        <f t="shared" si="86"/>
        <v>9.7032258064516153E-2</v>
      </c>
      <c r="E193" s="118">
        <v>0</v>
      </c>
      <c r="F193" s="118">
        <f t="shared" si="65"/>
        <v>0.11737566259916202</v>
      </c>
      <c r="G193" s="147">
        <f t="shared" si="87"/>
        <v>492.31436508306336</v>
      </c>
      <c r="H193" s="148">
        <f t="shared" si="66"/>
        <v>0.44361943210609123</v>
      </c>
      <c r="I193" s="149">
        <f t="shared" si="67"/>
        <v>0.4496370928606031</v>
      </c>
      <c r="J193" s="150">
        <f t="shared" si="68"/>
        <v>6.0969691120520242</v>
      </c>
      <c r="K193" s="151">
        <f t="shared" si="69"/>
        <v>2.4440843982471892E-5</v>
      </c>
      <c r="L193" s="151">
        <f t="shared" si="70"/>
        <v>3.5174862831233056E-5</v>
      </c>
      <c r="M193" s="152">
        <f t="shared" si="71"/>
        <v>745.11150863158321</v>
      </c>
      <c r="N193" s="153">
        <f t="shared" si="72"/>
        <v>9.3773695932275691E-2</v>
      </c>
      <c r="O193" s="154">
        <f t="shared" si="73"/>
        <v>0.96780221664289612</v>
      </c>
      <c r="P193" s="155">
        <f t="shared" si="74"/>
        <v>0.68737478505799399</v>
      </c>
      <c r="Q193" s="154">
        <f t="shared" si="75"/>
        <v>5.4850687945343896E-2</v>
      </c>
      <c r="R193" s="154">
        <f t="shared" si="88"/>
        <v>0.46395016124892219</v>
      </c>
      <c r="S193" s="154">
        <f t="shared" si="89"/>
        <v>0.31613049267684334</v>
      </c>
      <c r="T193" s="154">
        <f t="shared" si="76"/>
        <v>7.9207233172154137</v>
      </c>
      <c r="U193" s="154">
        <f t="shared" si="90"/>
        <v>44.835064040592556</v>
      </c>
      <c r="V193" s="157">
        <f t="shared" si="77"/>
        <v>5.4848094008716091</v>
      </c>
      <c r="W193" s="158">
        <f t="shared" si="78"/>
        <v>5.5916366298511343E-2</v>
      </c>
      <c r="X193" s="157">
        <f t="shared" si="79"/>
        <v>25.024821258211595</v>
      </c>
      <c r="Y193" s="143">
        <f t="shared" si="80"/>
        <v>479.80195445395759</v>
      </c>
      <c r="Z193" s="157">
        <f t="shared" si="81"/>
        <v>5.2776694188448223</v>
      </c>
      <c r="AA193" s="158">
        <f t="shared" si="82"/>
        <v>5.1936705310202891E-2</v>
      </c>
      <c r="AB193" s="157">
        <f t="shared" si="83"/>
        <v>24.071294310197963</v>
      </c>
      <c r="AC193" s="157">
        <f t="shared" si="91"/>
        <v>125.32156506302067</v>
      </c>
      <c r="AD193"/>
      <c r="AE193"/>
      <c r="AF193"/>
      <c r="AG193"/>
      <c r="AH193"/>
      <c r="AI193"/>
      <c r="AJ193"/>
      <c r="AK193" s="175"/>
      <c r="AL193" s="208"/>
      <c r="AM193" s="208"/>
    </row>
    <row r="194" spans="1:39" ht="12" customHeight="1" x14ac:dyDescent="0.25">
      <c r="A194" s="200" t="s">
        <v>364</v>
      </c>
      <c r="B194" s="37">
        <f t="shared" si="84"/>
        <v>161.00127538118977</v>
      </c>
      <c r="C194" s="161">
        <f t="shared" si="85"/>
        <v>1.2129032258064519E-2</v>
      </c>
      <c r="D194" s="26">
        <f t="shared" si="86"/>
        <v>0.10916129032258068</v>
      </c>
      <c r="E194" s="118">
        <v>0</v>
      </c>
      <c r="F194" s="118">
        <f t="shared" si="65"/>
        <v>0.11664241746288967</v>
      </c>
      <c r="G194" s="147">
        <f t="shared" si="87"/>
        <v>468.24307077286539</v>
      </c>
      <c r="H194" s="148">
        <f t="shared" si="66"/>
        <v>0.45760093447855837</v>
      </c>
      <c r="I194" s="149">
        <f t="shared" si="67"/>
        <v>0.4358989170683194</v>
      </c>
      <c r="J194" s="150">
        <f t="shared" si="68"/>
        <v>5.910682805180401</v>
      </c>
      <c r="K194" s="151">
        <f t="shared" si="69"/>
        <v>2.4440843982471892E-5</v>
      </c>
      <c r="L194" s="151">
        <f t="shared" si="70"/>
        <v>3.4460179783548453E-5</v>
      </c>
      <c r="M194" s="152">
        <f t="shared" si="71"/>
        <v>760.56466549839456</v>
      </c>
      <c r="N194" s="153">
        <f t="shared" si="72"/>
        <v>9.3187892155495874E-2</v>
      </c>
      <c r="O194" s="154">
        <f t="shared" si="73"/>
        <v>0.93237093438871232</v>
      </c>
      <c r="P194" s="155">
        <f t="shared" si="74"/>
        <v>0.68624786644138469</v>
      </c>
      <c r="Q194" s="154">
        <f t="shared" si="75"/>
        <v>5.3645462310526595E-2</v>
      </c>
      <c r="R194" s="154">
        <f t="shared" si="88"/>
        <v>0.44608796465073841</v>
      </c>
      <c r="S194" s="154">
        <f t="shared" si="89"/>
        <v>0.30319039186526825</v>
      </c>
      <c r="T194" s="154">
        <f t="shared" si="76"/>
        <v>7.6225428458125082</v>
      </c>
      <c r="U194" s="154">
        <f t="shared" si="90"/>
        <v>42.199153477852569</v>
      </c>
      <c r="V194" s="157">
        <f t="shared" si="77"/>
        <v>4.787283915571348</v>
      </c>
      <c r="W194" s="158">
        <f t="shared" si="78"/>
        <v>4.8432468993870666E-2</v>
      </c>
      <c r="X194" s="157">
        <f t="shared" si="79"/>
        <v>21.840629416488184</v>
      </c>
      <c r="Y194" s="143">
        <f t="shared" si="80"/>
        <v>457.32275606462133</v>
      </c>
      <c r="Z194" s="157">
        <f t="shared" si="81"/>
        <v>4.6171291783582413</v>
      </c>
      <c r="AA194" s="158">
        <f t="shared" si="82"/>
        <v>4.5269036340432015E-2</v>
      </c>
      <c r="AB194" s="157">
        <f t="shared" si="83"/>
        <v>21.057833731596194</v>
      </c>
      <c r="AC194" s="157">
        <f t="shared" si="91"/>
        <v>129.98396327771934</v>
      </c>
      <c r="AD194"/>
      <c r="AE194"/>
      <c r="AF194"/>
      <c r="AG194"/>
      <c r="AH194"/>
      <c r="AI194"/>
      <c r="AJ194"/>
      <c r="AK194" s="175"/>
      <c r="AL194" s="208"/>
      <c r="AM194" s="208"/>
    </row>
    <row r="195" spans="1:39" ht="12" customHeight="1" x14ac:dyDescent="0.25">
      <c r="A195" s="200" t="s">
        <v>364</v>
      </c>
      <c r="B195" s="37">
        <f t="shared" si="84"/>
        <v>161.00127538118977</v>
      </c>
      <c r="C195" s="161">
        <f t="shared" si="85"/>
        <v>1.2129032258064519E-2</v>
      </c>
      <c r="D195" s="26">
        <f t="shared" si="86"/>
        <v>0.1212903225806452</v>
      </c>
      <c r="E195" s="118">
        <v>0</v>
      </c>
      <c r="F195" s="118">
        <f t="shared" si="65"/>
        <v>0.11598960725106285</v>
      </c>
      <c r="G195" s="147">
        <f t="shared" si="87"/>
        <v>447.1852370412692</v>
      </c>
      <c r="H195" s="148">
        <f t="shared" si="66"/>
        <v>0.47082220585653711</v>
      </c>
      <c r="I195" s="149">
        <f t="shared" si="67"/>
        <v>0.42365833494572647</v>
      </c>
      <c r="J195" s="150">
        <f t="shared" si="68"/>
        <v>5.7447035025383881</v>
      </c>
      <c r="K195" s="151">
        <f t="shared" si="69"/>
        <v>2.4440843982471892E-5</v>
      </c>
      <c r="L195" s="151">
        <f t="shared" si="70"/>
        <v>3.3826590656218655E-5</v>
      </c>
      <c r="M195" s="152">
        <f t="shared" si="71"/>
        <v>774.81042581129259</v>
      </c>
      <c r="N195" s="153">
        <f t="shared" si="72"/>
        <v>9.2666349401659534E-2</v>
      </c>
      <c r="O195" s="154">
        <f t="shared" si="73"/>
        <v>0.9011171541972266</v>
      </c>
      <c r="P195" s="155">
        <f t="shared" si="74"/>
        <v>0.68533778665064837</v>
      </c>
      <c r="Q195" s="154">
        <f t="shared" si="75"/>
        <v>5.259111763341931E-2</v>
      </c>
      <c r="R195" s="154">
        <f t="shared" si="88"/>
        <v>0.43069320959663865</v>
      </c>
      <c r="S195" s="154">
        <f t="shared" si="89"/>
        <v>0.29214041410974084</v>
      </c>
      <c r="T195" s="154">
        <f t="shared" si="76"/>
        <v>7.3678721129638483</v>
      </c>
      <c r="U195" s="154">
        <f t="shared" si="90"/>
        <v>39.987601163209199</v>
      </c>
      <c r="V195" s="157">
        <f t="shared" si="77"/>
        <v>4.2254775091099557</v>
      </c>
      <c r="W195" s="158">
        <f t="shared" si="78"/>
        <v>4.2456658189681848E-2</v>
      </c>
      <c r="X195" s="157">
        <f t="shared" si="79"/>
        <v>19.276227369223683</v>
      </c>
      <c r="Y195" s="143">
        <f t="shared" si="80"/>
        <v>437.54712335665738</v>
      </c>
      <c r="Z195" s="157">
        <f t="shared" si="81"/>
        <v>4.0831717266044176</v>
      </c>
      <c r="AA195" s="158">
        <f t="shared" si="82"/>
        <v>3.9890712887357758E-2</v>
      </c>
      <c r="AB195" s="157">
        <f t="shared" si="83"/>
        <v>18.621910724418562</v>
      </c>
      <c r="AC195" s="157">
        <f t="shared" si="91"/>
        <v>134.10702571721112</v>
      </c>
      <c r="AD195"/>
      <c r="AE195"/>
      <c r="AF195"/>
      <c r="AG195"/>
      <c r="AH195"/>
      <c r="AI195"/>
      <c r="AJ195"/>
      <c r="AK195" s="175"/>
      <c r="AL195" s="208"/>
      <c r="AM195" s="208"/>
    </row>
    <row r="196" spans="1:39" ht="12" customHeight="1" x14ac:dyDescent="0.25">
      <c r="A196" s="200" t="s">
        <v>364</v>
      </c>
      <c r="B196" s="37">
        <f t="shared" si="84"/>
        <v>161.00127538118977</v>
      </c>
      <c r="C196" s="161">
        <f t="shared" si="85"/>
        <v>1.2129032258064519E-2</v>
      </c>
      <c r="D196" s="26">
        <f t="shared" si="86"/>
        <v>0.13341935483870973</v>
      </c>
      <c r="E196" s="118">
        <v>0</v>
      </c>
      <c r="F196" s="118">
        <f t="shared" si="65"/>
        <v>0.11540334309899676</v>
      </c>
      <c r="G196" s="147">
        <f t="shared" si="87"/>
        <v>428.56332631685063</v>
      </c>
      <c r="H196" s="148">
        <f t="shared" si="66"/>
        <v>0.48338301528835248</v>
      </c>
      <c r="I196" s="149">
        <f t="shared" si="67"/>
        <v>0.41264948390804768</v>
      </c>
      <c r="J196" s="150">
        <f t="shared" si="68"/>
        <v>5.5954261724389367</v>
      </c>
      <c r="K196" s="151">
        <f t="shared" si="69"/>
        <v>2.4440843982471892E-5</v>
      </c>
      <c r="L196" s="151">
        <f t="shared" si="70"/>
        <v>3.3259780627275794E-5</v>
      </c>
      <c r="M196" s="152">
        <f t="shared" si="71"/>
        <v>788.01467164805467</v>
      </c>
      <c r="N196" s="153">
        <f t="shared" si="72"/>
        <v>9.2197971587090061E-2</v>
      </c>
      <c r="O196" s="154">
        <f t="shared" si="73"/>
        <v>0.87326513354490953</v>
      </c>
      <c r="P196" s="155">
        <f t="shared" si="74"/>
        <v>0.68459756355623524</v>
      </c>
      <c r="Q196" s="154">
        <f t="shared" si="75"/>
        <v>5.1658737185358392E-2</v>
      </c>
      <c r="R196" s="154">
        <f t="shared" si="88"/>
        <v>0.41722514735196664</v>
      </c>
      <c r="S196" s="154">
        <f t="shared" si="89"/>
        <v>0.2825445249052469</v>
      </c>
      <c r="T196" s="154">
        <f t="shared" si="76"/>
        <v>7.1466039104639947</v>
      </c>
      <c r="U196" s="154">
        <f t="shared" si="90"/>
        <v>38.099069649379032</v>
      </c>
      <c r="V196" s="157">
        <f t="shared" si="77"/>
        <v>3.7639516689293484</v>
      </c>
      <c r="W196" s="158">
        <f t="shared" si="78"/>
        <v>3.7591157093931557E-2</v>
      </c>
      <c r="X196" s="157">
        <f t="shared" si="79"/>
        <v>17.169759653211912</v>
      </c>
      <c r="Y196" s="143">
        <f t="shared" si="80"/>
        <v>419.97844649024466</v>
      </c>
      <c r="Z196" s="157">
        <f t="shared" si="81"/>
        <v>3.6431831494853051</v>
      </c>
      <c r="AA196" s="158">
        <f t="shared" si="82"/>
        <v>3.5474718349854127E-2</v>
      </c>
      <c r="AB196" s="157">
        <f t="shared" si="83"/>
        <v>16.614746782479067</v>
      </c>
      <c r="AC196" s="157">
        <f t="shared" si="91"/>
        <v>137.78568358504629</v>
      </c>
      <c r="AD196"/>
      <c r="AE196"/>
      <c r="AF196"/>
      <c r="AG196"/>
      <c r="AH196"/>
      <c r="AI196"/>
      <c r="AJ196"/>
      <c r="AK196" s="175"/>
      <c r="AL196" s="208"/>
      <c r="AM196" s="208"/>
    </row>
    <row r="197" spans="1:39" ht="12" customHeight="1" x14ac:dyDescent="0.25">
      <c r="A197" s="200" t="s">
        <v>364</v>
      </c>
      <c r="B197" s="37">
        <f t="shared" si="84"/>
        <v>161.00127538118977</v>
      </c>
      <c r="C197" s="161">
        <f t="shared" si="85"/>
        <v>1.2129032258064519E-2</v>
      </c>
      <c r="D197" s="26">
        <f t="shared" si="86"/>
        <v>0.14554838709677426</v>
      </c>
      <c r="E197" s="118">
        <v>0</v>
      </c>
      <c r="F197" s="118">
        <f t="shared" si="65"/>
        <v>0.1148730617867374</v>
      </c>
      <c r="G197" s="147">
        <f t="shared" si="87"/>
        <v>411.94857953437156</v>
      </c>
      <c r="H197" s="148">
        <f t="shared" si="66"/>
        <v>0.49535990463188889</v>
      </c>
      <c r="I197" s="149">
        <f t="shared" si="67"/>
        <v>0.40267238006855394</v>
      </c>
      <c r="J197" s="150">
        <f t="shared" si="68"/>
        <v>5.4601390822433169</v>
      </c>
      <c r="K197" s="151">
        <f t="shared" si="69"/>
        <v>2.4440843982471892E-5</v>
      </c>
      <c r="L197" s="151">
        <f t="shared" si="70"/>
        <v>3.2748903882602214E-5</v>
      </c>
      <c r="M197" s="152">
        <f t="shared" si="71"/>
        <v>800.30755240063604</v>
      </c>
      <c r="N197" s="153">
        <f t="shared" si="72"/>
        <v>9.1774319550260303E-2</v>
      </c>
      <c r="O197" s="154">
        <f t="shared" si="73"/>
        <v>0.84823553588229839</v>
      </c>
      <c r="P197" s="155">
        <f t="shared" si="74"/>
        <v>0.68399226282273307</v>
      </c>
      <c r="Q197" s="154">
        <f t="shared" si="75"/>
        <v>5.0826853428706451E-2</v>
      </c>
      <c r="R197" s="154">
        <f t="shared" si="88"/>
        <v>0.40529785225635634</v>
      </c>
      <c r="S197" s="154">
        <f t="shared" si="89"/>
        <v>0.27409760620464302</v>
      </c>
      <c r="T197" s="154">
        <f t="shared" si="76"/>
        <v>6.9516786770776964</v>
      </c>
      <c r="U197" s="154">
        <f t="shared" si="90"/>
        <v>36.463116638567783</v>
      </c>
      <c r="V197" s="157">
        <f t="shared" si="77"/>
        <v>3.3786365234143143</v>
      </c>
      <c r="W197" s="158">
        <f t="shared" si="78"/>
        <v>3.3565031339543E-2</v>
      </c>
      <c r="X197" s="157">
        <f t="shared" si="79"/>
        <v>15.411290432502142</v>
      </c>
      <c r="Y197" s="143">
        <f t="shared" si="80"/>
        <v>404.24293431812049</v>
      </c>
      <c r="Z197" s="157">
        <f t="shared" si="81"/>
        <v>3.2748913389344421</v>
      </c>
      <c r="AA197" s="158">
        <f t="shared" si="82"/>
        <v>3.1794523481044293E-2</v>
      </c>
      <c r="AB197" s="157">
        <f t="shared" si="83"/>
        <v>14.934726268949831</v>
      </c>
      <c r="AC197" s="157">
        <f t="shared" si="91"/>
        <v>141.09236944746178</v>
      </c>
      <c r="AD197"/>
      <c r="AE197"/>
      <c r="AF197"/>
      <c r="AG197"/>
      <c r="AH197"/>
      <c r="AI197"/>
      <c r="AJ197"/>
      <c r="AK197" s="175"/>
      <c r="AL197" s="208"/>
      <c r="AM197" s="208"/>
    </row>
    <row r="198" spans="1:39" ht="12" customHeight="1" x14ac:dyDescent="0.25">
      <c r="A198" s="200" t="s">
        <v>364</v>
      </c>
      <c r="B198" s="37">
        <f t="shared" si="84"/>
        <v>161.00127538118977</v>
      </c>
      <c r="C198" s="161">
        <f t="shared" si="85"/>
        <v>1.2129032258064519E-2</v>
      </c>
      <c r="D198" s="26">
        <f t="shared" si="86"/>
        <v>0.15767741935483878</v>
      </c>
      <c r="E198" s="118">
        <v>0</v>
      </c>
      <c r="F198" s="118">
        <f t="shared" si="65"/>
        <v>0.11439052379192011</v>
      </c>
      <c r="G198" s="147">
        <f t="shared" si="87"/>
        <v>397.01385326542174</v>
      </c>
      <c r="H198" s="148">
        <f t="shared" si="66"/>
        <v>0.50681326090757772</v>
      </c>
      <c r="I198" s="149">
        <f t="shared" si="67"/>
        <v>0.39357247959821917</v>
      </c>
      <c r="J198" s="150">
        <f t="shared" si="68"/>
        <v>5.3367466553921377</v>
      </c>
      <c r="K198" s="151">
        <f t="shared" si="69"/>
        <v>2.4440843982471892E-5</v>
      </c>
      <c r="L198" s="151">
        <f t="shared" si="70"/>
        <v>3.2285531873828244E-5</v>
      </c>
      <c r="M198" s="152">
        <f t="shared" si="71"/>
        <v>811.79381564827611</v>
      </c>
      <c r="N198" s="153">
        <f t="shared" si="72"/>
        <v>9.1388810576766427E-2</v>
      </c>
      <c r="O198" s="154">
        <f t="shared" si="73"/>
        <v>0.8255838636523346</v>
      </c>
      <c r="P198" s="155">
        <f t="shared" si="74"/>
        <v>0.6834953908801269</v>
      </c>
      <c r="Q198" s="154">
        <f t="shared" si="75"/>
        <v>5.0079086619146396E-2</v>
      </c>
      <c r="R198" s="154">
        <f t="shared" si="88"/>
        <v>0.39462713560566193</v>
      </c>
      <c r="S198" s="154">
        <f t="shared" si="89"/>
        <v>0.26657853579732871</v>
      </c>
      <c r="T198" s="154">
        <f t="shared" si="76"/>
        <v>6.7779898157683194</v>
      </c>
      <c r="U198" s="154">
        <f t="shared" si="90"/>
        <v>35.029035842403658</v>
      </c>
      <c r="V198" s="157">
        <f t="shared" si="77"/>
        <v>3.0525900450218666</v>
      </c>
      <c r="W198" s="158">
        <f t="shared" si="78"/>
        <v>3.0187555660690146E-2</v>
      </c>
      <c r="X198" s="157">
        <f t="shared" si="79"/>
        <v>13.923439216754636</v>
      </c>
      <c r="Y198" s="143">
        <f t="shared" si="80"/>
        <v>390.05213365704441</v>
      </c>
      <c r="Z198" s="157">
        <f t="shared" si="81"/>
        <v>2.9625470644177132</v>
      </c>
      <c r="AA198" s="158">
        <f t="shared" si="82"/>
        <v>2.8688410262975809E-2</v>
      </c>
      <c r="AB198" s="157">
        <f t="shared" si="83"/>
        <v>13.509987001817921</v>
      </c>
      <c r="AC198" s="157">
        <f t="shared" si="91"/>
        <v>144.08360492214246</v>
      </c>
      <c r="AD198"/>
      <c r="AE198"/>
      <c r="AF198"/>
      <c r="AG198"/>
      <c r="AH198"/>
      <c r="AI198"/>
      <c r="AJ198"/>
      <c r="AK198" s="175"/>
      <c r="AL198" s="208"/>
      <c r="AM198" s="208"/>
    </row>
    <row r="199" spans="1:39" ht="12" customHeight="1" x14ac:dyDescent="0.25">
      <c r="A199" s="200" t="s">
        <v>364</v>
      </c>
      <c r="B199" s="37">
        <f t="shared" si="84"/>
        <v>161.00127538118977</v>
      </c>
      <c r="C199" s="161">
        <f t="shared" si="85"/>
        <v>1.2129032258064519E-2</v>
      </c>
      <c r="D199" s="26">
        <f t="shared" si="86"/>
        <v>0.16980645161290331</v>
      </c>
      <c r="E199" s="118">
        <v>0</v>
      </c>
      <c r="F199" s="118">
        <f t="shared" si="65"/>
        <v>0.11394916802441274</v>
      </c>
      <c r="G199" s="147">
        <f t="shared" si="87"/>
        <v>383.50386626360381</v>
      </c>
      <c r="H199" s="148">
        <f t="shared" si="66"/>
        <v>0.51779183867227074</v>
      </c>
      <c r="I199" s="149">
        <f t="shared" si="67"/>
        <v>0.38522768589812589</v>
      </c>
      <c r="J199" s="150">
        <f t="shared" si="68"/>
        <v>5.2235932918379246</v>
      </c>
      <c r="K199" s="151">
        <f t="shared" si="69"/>
        <v>2.4440843982471892E-5</v>
      </c>
      <c r="L199" s="151">
        <f t="shared" si="70"/>
        <v>3.1862977246053646E-5</v>
      </c>
      <c r="M199" s="152">
        <f t="shared" si="71"/>
        <v>822.55951500373931</v>
      </c>
      <c r="N199" s="153">
        <f t="shared" si="72"/>
        <v>9.1036202884305251E-2</v>
      </c>
      <c r="O199" s="154">
        <f t="shared" si="73"/>
        <v>0.80496143614312599</v>
      </c>
      <c r="P199" s="155">
        <f t="shared" si="74"/>
        <v>0.68308651915220486</v>
      </c>
      <c r="Q199" s="154">
        <f t="shared" si="75"/>
        <v>4.9402655079952382E-2</v>
      </c>
      <c r="R199" s="154">
        <f t="shared" si="88"/>
        <v>0.38499822578092452</v>
      </c>
      <c r="S199" s="154">
        <f t="shared" si="89"/>
        <v>0.25982239805933904</v>
      </c>
      <c r="T199" s="154">
        <f t="shared" si="76"/>
        <v>6.6217358404164557</v>
      </c>
      <c r="U199" s="154">
        <f t="shared" si="90"/>
        <v>33.759267447393661</v>
      </c>
      <c r="V199" s="157">
        <f t="shared" si="77"/>
        <v>2.7735323632135507</v>
      </c>
      <c r="W199" s="158">
        <f t="shared" si="78"/>
        <v>2.7320741214566426E-2</v>
      </c>
      <c r="X199" s="157">
        <f t="shared" si="79"/>
        <v>12.650120445253332</v>
      </c>
      <c r="Y199" s="143">
        <f t="shared" si="80"/>
        <v>377.17880604097712</v>
      </c>
      <c r="Z199" s="157">
        <f t="shared" si="81"/>
        <v>2.6946894196003646</v>
      </c>
      <c r="AA199" s="158">
        <f t="shared" si="82"/>
        <v>2.6037980419687492E-2</v>
      </c>
      <c r="AB199" s="157">
        <f t="shared" si="83"/>
        <v>12.288230773167243</v>
      </c>
      <c r="AC199" s="157">
        <f t="shared" si="91"/>
        <v>146.80433232216251</v>
      </c>
      <c r="AD199"/>
      <c r="AE199"/>
      <c r="AF199"/>
      <c r="AG199"/>
      <c r="AH199"/>
      <c r="AI199"/>
      <c r="AJ199"/>
      <c r="AK199" s="175"/>
      <c r="AL199" s="208"/>
      <c r="AM199" s="208"/>
    </row>
    <row r="200" spans="1:39" ht="12" customHeight="1" x14ac:dyDescent="0.25">
      <c r="A200" s="200" t="s">
        <v>364</v>
      </c>
      <c r="B200" s="37">
        <f t="shared" si="84"/>
        <v>161.00127538118977</v>
      </c>
      <c r="C200" s="161">
        <f t="shared" si="85"/>
        <v>1.2129032258064519E-2</v>
      </c>
      <c r="D200" s="26">
        <f t="shared" si="86"/>
        <v>0.18193548387096783</v>
      </c>
      <c r="E200" s="118">
        <v>0</v>
      </c>
      <c r="F200" s="118">
        <f t="shared" si="65"/>
        <v>0.11354367919965223</v>
      </c>
      <c r="G200" s="147">
        <f t="shared" si="87"/>
        <v>371.21563549043657</v>
      </c>
      <c r="H200" s="148">
        <f t="shared" si="66"/>
        <v>0.52833577503626217</v>
      </c>
      <c r="I200" s="149">
        <f t="shared" si="67"/>
        <v>0.37753974122794198</v>
      </c>
      <c r="J200" s="150">
        <f t="shared" si="68"/>
        <v>5.1193466406306856</v>
      </c>
      <c r="K200" s="151">
        <f t="shared" si="69"/>
        <v>2.4440843982471892E-5</v>
      </c>
      <c r="L200" s="151">
        <f t="shared" si="70"/>
        <v>3.1475841445630315E-5</v>
      </c>
      <c r="M200" s="152">
        <f t="shared" si="71"/>
        <v>832.67655148668314</v>
      </c>
      <c r="N200" s="153">
        <f t="shared" si="72"/>
        <v>9.0712249988832525E-2</v>
      </c>
      <c r="O200" s="154">
        <f t="shared" si="73"/>
        <v>0.78608961865719529</v>
      </c>
      <c r="P200" s="155">
        <f t="shared" si="74"/>
        <v>0.68274967075780291</v>
      </c>
      <c r="Q200" s="154">
        <f t="shared" si="75"/>
        <v>4.8787395653370667E-2</v>
      </c>
      <c r="R200" s="154">
        <f t="shared" si="88"/>
        <v>0.37624522504963326</v>
      </c>
      <c r="S200" s="154">
        <f t="shared" si="89"/>
        <v>0.25370321481155522</v>
      </c>
      <c r="T200" s="154">
        <f t="shared" si="76"/>
        <v>6.4800181254715872</v>
      </c>
      <c r="U200" s="154">
        <f t="shared" si="90"/>
        <v>32.625316131100753</v>
      </c>
      <c r="V200" s="157">
        <f t="shared" si="77"/>
        <v>2.5323414283615118</v>
      </c>
      <c r="W200" s="158">
        <f t="shared" si="78"/>
        <v>2.4862414987500078E-2</v>
      </c>
      <c r="X200" s="157">
        <f t="shared" si="79"/>
        <v>11.549672694468134</v>
      </c>
      <c r="Y200" s="143">
        <f t="shared" si="80"/>
        <v>365.44079914320253</v>
      </c>
      <c r="Z200" s="157">
        <f t="shared" si="81"/>
        <v>2.4627750233047458</v>
      </c>
      <c r="AA200" s="158">
        <f t="shared" si="82"/>
        <v>2.3754669579693039E-2</v>
      </c>
      <c r="AB200" s="157">
        <f t="shared" si="83"/>
        <v>11.230471193207912</v>
      </c>
      <c r="AC200" s="157">
        <f t="shared" si="91"/>
        <v>149.29086201504694</v>
      </c>
      <c r="AD200"/>
      <c r="AE200"/>
      <c r="AF200"/>
      <c r="AG200"/>
      <c r="AH200"/>
      <c r="AI200"/>
      <c r="AJ200"/>
      <c r="AK200" s="175"/>
      <c r="AL200" s="208"/>
      <c r="AM200" s="208"/>
    </row>
    <row r="201" spans="1:39" ht="12" customHeight="1" x14ac:dyDescent="0.25">
      <c r="A201" s="200" t="s">
        <v>364</v>
      </c>
      <c r="B201" s="37">
        <f t="shared" si="84"/>
        <v>161.00127538118977</v>
      </c>
      <c r="C201" s="161">
        <f t="shared" si="85"/>
        <v>1.2129032258064519E-2</v>
      </c>
      <c r="D201" s="26">
        <f t="shared" si="86"/>
        <v>0.19406451612903236</v>
      </c>
      <c r="E201" s="118">
        <v>0</v>
      </c>
      <c r="F201" s="118">
        <f t="shared" si="65"/>
        <v>0.11316968800459229</v>
      </c>
      <c r="G201" s="147">
        <f t="shared" si="87"/>
        <v>359.98516429722866</v>
      </c>
      <c r="H201" s="148">
        <f t="shared" si="66"/>
        <v>0.53847866989209325</v>
      </c>
      <c r="I201" s="149">
        <f t="shared" si="67"/>
        <v>0.37042832509712276</v>
      </c>
      <c r="J201" s="150">
        <f t="shared" si="68"/>
        <v>5.0229175755446454</v>
      </c>
      <c r="K201" s="151">
        <f t="shared" si="69"/>
        <v>2.4440843982471892E-5</v>
      </c>
      <c r="L201" s="151">
        <f t="shared" si="70"/>
        <v>3.1119701824978644E-5</v>
      </c>
      <c r="M201" s="152">
        <f t="shared" si="71"/>
        <v>842.20585587526125</v>
      </c>
      <c r="N201" s="153">
        <f t="shared" si="72"/>
        <v>9.0413461161316683E-2</v>
      </c>
      <c r="O201" s="154">
        <f t="shared" si="73"/>
        <v>0.76874221527108855</v>
      </c>
      <c r="P201" s="155">
        <f t="shared" si="74"/>
        <v>0.68247219641878809</v>
      </c>
      <c r="Q201" s="154">
        <f t="shared" si="75"/>
        <v>4.8225097191197941E-2</v>
      </c>
      <c r="R201" s="154">
        <f t="shared" si="88"/>
        <v>0.36823757209461255</v>
      </c>
      <c r="S201" s="154">
        <f t="shared" si="89"/>
        <v>0.24812277776930142</v>
      </c>
      <c r="T201" s="154">
        <f t="shared" si="76"/>
        <v>6.3505810282320452</v>
      </c>
      <c r="U201" s="154">
        <f t="shared" si="90"/>
        <v>31.605120152763497</v>
      </c>
      <c r="V201" s="157">
        <f t="shared" si="77"/>
        <v>2.3220978235721614</v>
      </c>
      <c r="W201" s="158">
        <f t="shared" si="78"/>
        <v>2.2735404936144243E-2</v>
      </c>
      <c r="X201" s="157">
        <f t="shared" si="79"/>
        <v>10.590495702101027</v>
      </c>
      <c r="Y201" s="143">
        <f t="shared" si="80"/>
        <v>354.68991644617813</v>
      </c>
      <c r="Z201" s="157">
        <f t="shared" si="81"/>
        <v>2.2603034563136744</v>
      </c>
      <c r="AA201" s="158">
        <f t="shared" si="82"/>
        <v>2.1770990059061145E-2</v>
      </c>
      <c r="AB201" s="157">
        <f t="shared" si="83"/>
        <v>10.307044152372402</v>
      </c>
      <c r="AC201" s="157">
        <f t="shared" si="91"/>
        <v>151.57293646141969</v>
      </c>
      <c r="AD201"/>
      <c r="AE201"/>
      <c r="AF201"/>
      <c r="AG201"/>
      <c r="AH201"/>
      <c r="AI201"/>
      <c r="AJ201"/>
      <c r="AK201" s="175"/>
      <c r="AL201" s="208"/>
      <c r="AM201" s="208"/>
    </row>
    <row r="202" spans="1:39" ht="12" customHeight="1" x14ac:dyDescent="0.25">
      <c r="A202" s="200" t="s">
        <v>364</v>
      </c>
      <c r="B202" s="37">
        <f t="shared" si="84"/>
        <v>161.00127538118977</v>
      </c>
      <c r="C202" s="161">
        <f t="shared" si="85"/>
        <v>1.2129032258064519E-2</v>
      </c>
      <c r="D202" s="26">
        <f t="shared" si="86"/>
        <v>0.20619354838709689</v>
      </c>
      <c r="E202" s="118">
        <v>0</v>
      </c>
      <c r="F202" s="118">
        <f t="shared" si="65"/>
        <v>0.11282355743946766</v>
      </c>
      <c r="G202" s="147">
        <f t="shared" si="87"/>
        <v>349.67812014485628</v>
      </c>
      <c r="H202" s="148">
        <f t="shared" si="66"/>
        <v>0.54824906297407905</v>
      </c>
      <c r="I202" s="149">
        <f t="shared" si="67"/>
        <v>0.36382689047675637</v>
      </c>
      <c r="J202" s="150">
        <f t="shared" si="68"/>
        <v>4.9334037351282749</v>
      </c>
      <c r="K202" s="151">
        <f t="shared" si="69"/>
        <v>2.4440843982471892E-5</v>
      </c>
      <c r="L202" s="151">
        <f t="shared" si="70"/>
        <v>3.0790889141593531E-5</v>
      </c>
      <c r="M202" s="152">
        <f t="shared" si="71"/>
        <v>851.19968408722127</v>
      </c>
      <c r="N202" s="153">
        <f t="shared" si="72"/>
        <v>9.0136930732025666E-2</v>
      </c>
      <c r="O202" s="154">
        <f t="shared" si="73"/>
        <v>0.7527330906753954</v>
      </c>
      <c r="P202" s="155">
        <f t="shared" si="74"/>
        <v>0.68224397377625412</v>
      </c>
      <c r="Q202" s="154">
        <f t="shared" si="75"/>
        <v>4.7709033797532809E-2</v>
      </c>
      <c r="R202" s="154">
        <f t="shared" si="88"/>
        <v>0.3608708431665919</v>
      </c>
      <c r="S202" s="154">
        <f t="shared" si="89"/>
        <v>0.24300318031826251</v>
      </c>
      <c r="T202" s="154">
        <f t="shared" si="76"/>
        <v>6.2316382762638654</v>
      </c>
      <c r="U202" s="154">
        <f t="shared" si="90"/>
        <v>30.68129808003938</v>
      </c>
      <c r="V202" s="157">
        <f t="shared" si="77"/>
        <v>2.1374574903050898</v>
      </c>
      <c r="W202" s="158">
        <f t="shared" si="78"/>
        <v>2.0880407020642752E-2</v>
      </c>
      <c r="X202" s="157">
        <f t="shared" si="79"/>
        <v>9.7481850510329231</v>
      </c>
      <c r="Y202" s="143">
        <f t="shared" si="80"/>
        <v>344.80402761933982</v>
      </c>
      <c r="Z202" s="157">
        <f t="shared" si="81"/>
        <v>2.0822405102344574</v>
      </c>
      <c r="AA202" s="158">
        <f t="shared" si="82"/>
        <v>2.0034675589927976E-2</v>
      </c>
      <c r="AB202" s="157">
        <f t="shared" si="83"/>
        <v>9.4949764654565172</v>
      </c>
      <c r="AC202" s="157">
        <f t="shared" si="91"/>
        <v>153.67521164724408</v>
      </c>
      <c r="AD202"/>
      <c r="AE202"/>
      <c r="AF202"/>
      <c r="AG202"/>
      <c r="AH202"/>
      <c r="AI202"/>
      <c r="AJ202"/>
      <c r="AK202" s="175"/>
      <c r="AL202" s="208"/>
      <c r="AM202" s="208"/>
    </row>
    <row r="203" spans="1:39" ht="12" customHeight="1" x14ac:dyDescent="0.25">
      <c r="A203" s="200" t="s">
        <v>364</v>
      </c>
      <c r="B203" s="37">
        <f t="shared" si="84"/>
        <v>161.00127538118977</v>
      </c>
      <c r="C203" s="161">
        <f t="shared" si="85"/>
        <v>1.2129032258064519E-2</v>
      </c>
      <c r="D203" s="26">
        <f t="shared" si="86"/>
        <v>0.21832258064516141</v>
      </c>
      <c r="E203" s="118">
        <v>0</v>
      </c>
      <c r="F203" s="118">
        <f t="shared" si="65"/>
        <v>0.11250222692090286</v>
      </c>
      <c r="G203" s="147">
        <f t="shared" si="87"/>
        <v>340.18314367939979</v>
      </c>
      <c r="H203" s="148">
        <f t="shared" si="66"/>
        <v>0.55767150850660718</v>
      </c>
      <c r="I203" s="149">
        <f t="shared" si="67"/>
        <v>0.35767965324750189</v>
      </c>
      <c r="J203" s="150">
        <f t="shared" si="68"/>
        <v>4.8500487003539527</v>
      </c>
      <c r="K203" s="151">
        <f t="shared" si="69"/>
        <v>2.4440843982471892E-5</v>
      </c>
      <c r="L203" s="151">
        <f t="shared" si="70"/>
        <v>3.0486325552605276E-5</v>
      </c>
      <c r="M203" s="152">
        <f t="shared" si="71"/>
        <v>859.7033140272722</v>
      </c>
      <c r="N203" s="153">
        <f t="shared" si="72"/>
        <v>8.9880213541473492E-2</v>
      </c>
      <c r="O203" s="154">
        <f t="shared" si="73"/>
        <v>0.73790725338077801</v>
      </c>
      <c r="P203" s="155">
        <f t="shared" si="74"/>
        <v>0.68205682606057239</v>
      </c>
      <c r="Q203" s="154">
        <f t="shared" si="75"/>
        <v>4.7233629820883867E-2</v>
      </c>
      <c r="R203" s="154">
        <f t="shared" si="88"/>
        <v>0.35406033398376557</v>
      </c>
      <c r="S203" s="154">
        <f t="shared" si="89"/>
        <v>0.2382816778757173</v>
      </c>
      <c r="T203" s="154">
        <f t="shared" si="76"/>
        <v>6.1217536172546421</v>
      </c>
      <c r="U203" s="154">
        <f t="shared" si="90"/>
        <v>29.839946533758596</v>
      </c>
      <c r="V203" s="157">
        <f t="shared" si="77"/>
        <v>1.9742277518738425</v>
      </c>
      <c r="W203" s="158">
        <f t="shared" si="78"/>
        <v>1.92511517726521E-2</v>
      </c>
      <c r="X203" s="157">
        <f t="shared" si="79"/>
        <v>9.003595438950633</v>
      </c>
      <c r="Y203" s="143">
        <f t="shared" si="80"/>
        <v>335.6813459599245</v>
      </c>
      <c r="Z203" s="157">
        <f t="shared" si="81"/>
        <v>1.9246268961872668</v>
      </c>
      <c r="AA203" s="158">
        <f t="shared" si="82"/>
        <v>1.8504666157187311E-2</v>
      </c>
      <c r="AB203" s="157">
        <f t="shared" si="83"/>
        <v>8.7762004604127863</v>
      </c>
      <c r="AC203" s="157">
        <f t="shared" si="91"/>
        <v>155.61834320958855</v>
      </c>
      <c r="AD203"/>
      <c r="AE203"/>
      <c r="AF203"/>
      <c r="AG203"/>
      <c r="AH203"/>
      <c r="AI203"/>
      <c r="AJ203"/>
      <c r="AK203" s="175"/>
      <c r="AL203" s="208"/>
      <c r="AM203" s="208"/>
    </row>
    <row r="204" spans="1:39" ht="12" customHeight="1" x14ac:dyDescent="0.25">
      <c r="A204" s="200" t="s">
        <v>364</v>
      </c>
      <c r="B204" s="37">
        <f t="shared" si="84"/>
        <v>161.00127538118977</v>
      </c>
      <c r="C204" s="161">
        <f t="shared" si="85"/>
        <v>1.2129032258064519E-2</v>
      </c>
      <c r="D204" s="26">
        <f t="shared" si="86"/>
        <v>0.23045161290322594</v>
      </c>
      <c r="E204" s="118">
        <v>0</v>
      </c>
      <c r="F204" s="118">
        <f t="shared" si="65"/>
        <v>0.11220309618492454</v>
      </c>
      <c r="G204" s="147">
        <f t="shared" si="87"/>
        <v>331.40694321898701</v>
      </c>
      <c r="H204" s="148">
        <f t="shared" si="66"/>
        <v>0.56676737361366258</v>
      </c>
      <c r="I204" s="149">
        <f t="shared" si="67"/>
        <v>0.35193936891050104</v>
      </c>
      <c r="J204" s="150">
        <f t="shared" si="68"/>
        <v>4.7722118473611763</v>
      </c>
      <c r="K204" s="151">
        <f t="shared" si="69"/>
        <v>2.4440843982471892E-5</v>
      </c>
      <c r="L204" s="151">
        <f t="shared" si="70"/>
        <v>3.0203404226592864E-5</v>
      </c>
      <c r="M204" s="152">
        <f t="shared" si="71"/>
        <v>867.75632685182359</v>
      </c>
      <c r="N204" s="153">
        <f t="shared" si="72"/>
        <v>8.9641232188282571E-2</v>
      </c>
      <c r="O204" s="154">
        <f t="shared" si="73"/>
        <v>0.72413429555846576</v>
      </c>
      <c r="P204" s="155">
        <f t="shared" si="74"/>
        <v>0.6819040928888167</v>
      </c>
      <c r="Q204" s="154">
        <f t="shared" si="75"/>
        <v>4.6794214240031454E-2</v>
      </c>
      <c r="R204" s="154">
        <f t="shared" si="88"/>
        <v>0.3477364775599317</v>
      </c>
      <c r="S204" s="154">
        <f t="shared" si="89"/>
        <v>0.23390706193092167</v>
      </c>
      <c r="T204" s="154">
        <f t="shared" si="76"/>
        <v>6.0197567145258413</v>
      </c>
      <c r="U204" s="154">
        <f t="shared" si="90"/>
        <v>29.069795151011792</v>
      </c>
      <c r="V204" s="157">
        <f t="shared" si="77"/>
        <v>1.8290735030391887</v>
      </c>
      <c r="W204" s="158">
        <f t="shared" si="78"/>
        <v>1.7811051114164308E-2</v>
      </c>
      <c r="X204" s="157">
        <f t="shared" si="79"/>
        <v>8.3414985318511619</v>
      </c>
      <c r="Y204" s="143">
        <f t="shared" si="80"/>
        <v>327.23619395306144</v>
      </c>
      <c r="Z204" s="157">
        <f t="shared" si="81"/>
        <v>1.7843061718411091</v>
      </c>
      <c r="AA204" s="158">
        <f t="shared" si="82"/>
        <v>1.7148293140287839E-2</v>
      </c>
      <c r="AB204" s="157">
        <f t="shared" si="83"/>
        <v>8.1363124408865009</v>
      </c>
      <c r="AC204" s="157">
        <f t="shared" si="91"/>
        <v>157.41979767456993</v>
      </c>
      <c r="AD204"/>
      <c r="AE204"/>
      <c r="AF204"/>
      <c r="AG204"/>
      <c r="AH204"/>
      <c r="AI204"/>
      <c r="AJ204"/>
      <c r="AK204" s="175"/>
      <c r="AL204" s="208"/>
      <c r="AM204" s="208"/>
    </row>
    <row r="205" spans="1:39" ht="12" customHeight="1" x14ac:dyDescent="0.25">
      <c r="A205" s="200" t="s">
        <v>364</v>
      </c>
      <c r="B205" s="37">
        <f t="shared" si="84"/>
        <v>161.00127538118977</v>
      </c>
      <c r="C205" s="161">
        <f t="shared" si="85"/>
        <v>1.2129032258064519E-2</v>
      </c>
      <c r="D205" s="26">
        <f t="shared" si="86"/>
        <v>0.24258064516129046</v>
      </c>
      <c r="E205" s="118">
        <v>0</v>
      </c>
      <c r="F205" s="118">
        <f t="shared" si="65"/>
        <v>0.11192393727644939</v>
      </c>
      <c r="G205" s="147">
        <f t="shared" si="87"/>
        <v>323.2706307781005</v>
      </c>
      <c r="H205" s="148">
        <f t="shared" si="66"/>
        <v>0.5755554423734367</v>
      </c>
      <c r="I205" s="149">
        <f t="shared" si="67"/>
        <v>0.34656566006239625</v>
      </c>
      <c r="J205" s="150">
        <f t="shared" si="68"/>
        <v>4.6993456684264832</v>
      </c>
      <c r="K205" s="151">
        <f t="shared" si="69"/>
        <v>2.4440843982471892E-5</v>
      </c>
      <c r="L205" s="151">
        <f t="shared" si="70"/>
        <v>2.9939898276061254E-5</v>
      </c>
      <c r="M205" s="152">
        <f t="shared" si="71"/>
        <v>875.39359247071627</v>
      </c>
      <c r="N205" s="153">
        <f t="shared" si="72"/>
        <v>8.9418206715876677E-2</v>
      </c>
      <c r="O205" s="154">
        <f t="shared" si="73"/>
        <v>0.71130347697702467</v>
      </c>
      <c r="P205" s="155">
        <f t="shared" si="74"/>
        <v>0.6817803086474501</v>
      </c>
      <c r="Q205" s="154">
        <f t="shared" si="75"/>
        <v>4.6386837212428714E-2</v>
      </c>
      <c r="R205" s="154">
        <f t="shared" si="88"/>
        <v>0.34184150597678176</v>
      </c>
      <c r="S205" s="154">
        <f t="shared" si="89"/>
        <v>0.22983704589693385</v>
      </c>
      <c r="T205" s="154">
        <f t="shared" si="76"/>
        <v>5.9246825827783365</v>
      </c>
      <c r="U205" s="154">
        <f t="shared" si="90"/>
        <v>28.361599658215855</v>
      </c>
      <c r="V205" s="157">
        <f t="shared" si="77"/>
        <v>1.6993091059692278</v>
      </c>
      <c r="W205" s="158">
        <f t="shared" si="78"/>
        <v>1.653082347726216E-2</v>
      </c>
      <c r="X205" s="157">
        <f t="shared" si="79"/>
        <v>7.749632330934026</v>
      </c>
      <c r="Y205" s="143">
        <f t="shared" si="80"/>
        <v>319.3958146126335</v>
      </c>
      <c r="Z205" s="157">
        <f t="shared" si="81"/>
        <v>1.6587314480508299</v>
      </c>
      <c r="AA205" s="158">
        <f t="shared" si="82"/>
        <v>1.5939267061430722E-2</v>
      </c>
      <c r="AB205" s="157">
        <f t="shared" si="83"/>
        <v>7.5636905837066983</v>
      </c>
      <c r="AC205" s="157">
        <f t="shared" si="91"/>
        <v>159.09446838968219</v>
      </c>
      <c r="AD205"/>
      <c r="AE205"/>
      <c r="AF205"/>
      <c r="AG205"/>
      <c r="AH205"/>
      <c r="AI205"/>
      <c r="AJ205"/>
      <c r="AK205" s="175"/>
      <c r="AL205" s="208"/>
      <c r="AM205" s="208"/>
    </row>
    <row r="206" spans="1:39" ht="12" customHeight="1" x14ac:dyDescent="0.25">
      <c r="A206" s="200" t="s">
        <v>364</v>
      </c>
      <c r="B206" s="37">
        <f t="shared" si="84"/>
        <v>161.00127538118977</v>
      </c>
      <c r="C206" s="161">
        <f t="shared" si="85"/>
        <v>1.2129032258064519E-2</v>
      </c>
      <c r="D206" s="26">
        <f t="shared" si="86"/>
        <v>0.25470967741935496</v>
      </c>
      <c r="E206" s="118">
        <v>0</v>
      </c>
      <c r="F206" s="118">
        <f t="shared" si="65"/>
        <v>0.11166282677710095</v>
      </c>
      <c r="G206" s="147">
        <f t="shared" si="87"/>
        <v>315.70694019439378</v>
      </c>
      <c r="H206" s="148">
        <f t="shared" si="66"/>
        <v>0.58405238016017946</v>
      </c>
      <c r="I206" s="149">
        <f t="shared" si="67"/>
        <v>0.34152373753523524</v>
      </c>
      <c r="J206" s="150">
        <f t="shared" si="68"/>
        <v>4.6309784309330455</v>
      </c>
      <c r="K206" s="151">
        <f t="shared" si="69"/>
        <v>2.4440843982471892E-5</v>
      </c>
      <c r="L206" s="151">
        <f t="shared" si="70"/>
        <v>2.9693890782074654E-5</v>
      </c>
      <c r="M206" s="152">
        <f t="shared" si="71"/>
        <v>882.64603996963592</v>
      </c>
      <c r="N206" s="153">
        <f t="shared" si="72"/>
        <v>8.9209600467967803E-2</v>
      </c>
      <c r="O206" s="154">
        <f t="shared" si="73"/>
        <v>0.69931998068516843</v>
      </c>
      <c r="P206" s="155">
        <f t="shared" si="74"/>
        <v>0.68168095828723263</v>
      </c>
      <c r="Q206" s="154">
        <f t="shared" si="75"/>
        <v>4.6008130788593102E-2</v>
      </c>
      <c r="R206" s="154">
        <f t="shared" si="88"/>
        <v>0.33632697445663184</v>
      </c>
      <c r="S206" s="154">
        <f t="shared" si="89"/>
        <v>0.22603634405363293</v>
      </c>
      <c r="T206" s="154">
        <f t="shared" si="76"/>
        <v>5.8560000000000008</v>
      </c>
      <c r="U206" s="154">
        <f t="shared" si="90"/>
        <v>27.803951976839606</v>
      </c>
      <c r="V206" s="157">
        <f t="shared" si="77"/>
        <v>1.5882464651818704</v>
      </c>
      <c r="W206" s="158">
        <f t="shared" si="78"/>
        <v>1.5386780656637572E-2</v>
      </c>
      <c r="X206" s="157">
        <f t="shared" si="79"/>
        <v>7.2428481443019948</v>
      </c>
      <c r="Y206" s="143">
        <f t="shared" si="80"/>
        <v>312.08551612224278</v>
      </c>
      <c r="Z206" s="157">
        <f t="shared" si="81"/>
        <v>1.551068033555187</v>
      </c>
      <c r="AA206" s="158">
        <f t="shared" si="82"/>
        <v>1.485440535212507E-2</v>
      </c>
      <c r="AB206" s="157">
        <f t="shared" si="83"/>
        <v>7.0725263773328102</v>
      </c>
      <c r="AC206" s="157">
        <f t="shared" si="91"/>
        <v>160.6603908285895</v>
      </c>
      <c r="AD206"/>
      <c r="AE206"/>
      <c r="AF206"/>
      <c r="AG206"/>
      <c r="AH206"/>
      <c r="AI206"/>
      <c r="AJ206"/>
      <c r="AK206" s="175"/>
      <c r="AL206" s="208"/>
      <c r="AM206" s="208"/>
    </row>
    <row r="207" spans="1:39" ht="12" customHeight="1" x14ac:dyDescent="0.25">
      <c r="A207" s="200" t="s">
        <v>364</v>
      </c>
      <c r="B207" s="37">
        <f t="shared" si="84"/>
        <v>161.00127538118977</v>
      </c>
      <c r="C207" s="161">
        <f t="shared" si="85"/>
        <v>1.2129032258064519E-2</v>
      </c>
      <c r="D207" s="26">
        <f t="shared" si="86"/>
        <v>0.26683870967741946</v>
      </c>
      <c r="E207" s="118">
        <v>0</v>
      </c>
      <c r="F207" s="118">
        <f t="shared" si="65"/>
        <v>0.11141726878640755</v>
      </c>
      <c r="G207" s="147">
        <f t="shared" si="87"/>
        <v>308.63441381706099</v>
      </c>
      <c r="H207" s="148">
        <f t="shared" si="66"/>
        <v>0.59230121228876953</v>
      </c>
      <c r="I207" s="149">
        <f t="shared" si="67"/>
        <v>0.33676742111985819</v>
      </c>
      <c r="J207" s="150">
        <f t="shared" si="68"/>
        <v>4.566483942528615</v>
      </c>
      <c r="K207" s="151">
        <f t="shared" si="69"/>
        <v>2.4440843982471892E-5</v>
      </c>
      <c r="L207" s="151">
        <f t="shared" si="70"/>
        <v>2.9462945880866183E-5</v>
      </c>
      <c r="M207" s="152">
        <f t="shared" si="71"/>
        <v>889.5646489684467</v>
      </c>
      <c r="N207" s="153">
        <f t="shared" si="72"/>
        <v>8.9013419421206372E-2</v>
      </c>
      <c r="O207" s="154">
        <f t="shared" si="73"/>
        <v>0.68806426607454729</v>
      </c>
      <c r="P207" s="155">
        <f t="shared" si="74"/>
        <v>0.68160204843338912</v>
      </c>
      <c r="Q207" s="154">
        <f t="shared" si="75"/>
        <v>4.5654016465406427E-2</v>
      </c>
      <c r="R207" s="154">
        <f t="shared" si="88"/>
        <v>0.3311518954193749</v>
      </c>
      <c r="S207" s="154">
        <f t="shared" si="89"/>
        <v>0.22247523563697913</v>
      </c>
      <c r="T207" s="154">
        <f t="shared" si="76"/>
        <v>5.8560000000000008</v>
      </c>
      <c r="U207" s="154">
        <f t="shared" si="90"/>
        <v>27.589951158561757</v>
      </c>
      <c r="V207" s="157">
        <f t="shared" si="77"/>
        <v>1.5039726381495415</v>
      </c>
      <c r="W207" s="158">
        <f t="shared" si="78"/>
        <v>1.4356184471995602E-2</v>
      </c>
      <c r="X207" s="157">
        <f t="shared" si="79"/>
        <v>6.8575686640959512</v>
      </c>
      <c r="Y207" s="143">
        <f t="shared" si="80"/>
        <v>305.20562948501299</v>
      </c>
      <c r="Z207" s="157">
        <f t="shared" si="81"/>
        <v>1.4690428258313131</v>
      </c>
      <c r="AA207" s="158">
        <f t="shared" si="82"/>
        <v>1.3869890706439817E-2</v>
      </c>
      <c r="AB207" s="157">
        <f t="shared" si="83"/>
        <v>6.6976109687232706</v>
      </c>
      <c r="AC207" s="157">
        <f t="shared" si="91"/>
        <v>162.14330354512725</v>
      </c>
      <c r="AD207"/>
      <c r="AE207"/>
      <c r="AF207"/>
      <c r="AG207"/>
      <c r="AH207"/>
      <c r="AI207"/>
      <c r="AJ207"/>
      <c r="AK207" s="175"/>
      <c r="AL207" s="208"/>
      <c r="AM207" s="208"/>
    </row>
    <row r="208" spans="1:39" ht="12" customHeight="1" x14ac:dyDescent="0.25">
      <c r="A208" s="200" t="s">
        <v>364</v>
      </c>
      <c r="B208" s="37">
        <f t="shared" si="84"/>
        <v>161.00127538118977</v>
      </c>
      <c r="C208" s="161">
        <f t="shared" si="85"/>
        <v>1.2129032258064519E-2</v>
      </c>
      <c r="D208" s="26">
        <f t="shared" si="86"/>
        <v>0.27896774193548396</v>
      </c>
      <c r="E208" s="118">
        <v>0</v>
      </c>
      <c r="F208" s="118">
        <f t="shared" si="65"/>
        <v>0.11118346915989663</v>
      </c>
      <c r="G208" s="147">
        <f t="shared" si="87"/>
        <v>301.93680284833772</v>
      </c>
      <c r="H208" s="148">
        <f t="shared" si="66"/>
        <v>0.60039993673851932</v>
      </c>
      <c r="I208" s="149">
        <f t="shared" si="67"/>
        <v>0.3322248048062752</v>
      </c>
      <c r="J208" s="150">
        <f t="shared" si="68"/>
        <v>4.5048871752876938</v>
      </c>
      <c r="K208" s="151">
        <f t="shared" si="69"/>
        <v>2.4440843982471892E-5</v>
      </c>
      <c r="L208" s="151">
        <f t="shared" si="70"/>
        <v>2.9243430468644428E-5</v>
      </c>
      <c r="M208" s="152">
        <f t="shared" si="71"/>
        <v>896.24215388106575</v>
      </c>
      <c r="N208" s="153">
        <f t="shared" si="72"/>
        <v>8.8826632359902291E-2</v>
      </c>
      <c r="O208" s="154">
        <f t="shared" si="73"/>
        <v>0.67735867947453599</v>
      </c>
      <c r="P208" s="155">
        <f t="shared" si="74"/>
        <v>0.6815400220961827</v>
      </c>
      <c r="Q208" s="154">
        <f t="shared" si="75"/>
        <v>4.5318673781813423E-2</v>
      </c>
      <c r="R208" s="154">
        <f t="shared" si="88"/>
        <v>0.32628131192814752</v>
      </c>
      <c r="S208" s="154">
        <f t="shared" si="89"/>
        <v>0.21912847512114517</v>
      </c>
      <c r="T208" s="154">
        <f t="shared" si="76"/>
        <v>5.8560000000000008</v>
      </c>
      <c r="U208" s="154">
        <f t="shared" si="90"/>
        <v>27.387294547423878</v>
      </c>
      <c r="V208" s="157">
        <f t="shared" si="77"/>
        <v>1.4251965721297366</v>
      </c>
      <c r="W208" s="158">
        <f t="shared" si="78"/>
        <v>1.3414268713899351E-2</v>
      </c>
      <c r="X208" s="157">
        <f t="shared" si="79"/>
        <v>6.4975204810803469</v>
      </c>
      <c r="Y208" s="143">
        <f t="shared" si="80"/>
        <v>298.68804260779757</v>
      </c>
      <c r="Z208" s="157">
        <f t="shared" si="81"/>
        <v>1.3923438057499571</v>
      </c>
      <c r="AA208" s="158">
        <f t="shared" si="82"/>
        <v>1.2969078475498599E-2</v>
      </c>
      <c r="AB208" s="157">
        <f t="shared" si="83"/>
        <v>6.347129458739742</v>
      </c>
      <c r="AC208" s="157">
        <f t="shared" si="91"/>
        <v>163.54861642935271</v>
      </c>
      <c r="AD208"/>
      <c r="AE208"/>
      <c r="AF208"/>
      <c r="AG208"/>
      <c r="AH208"/>
      <c r="AI208"/>
      <c r="AJ208"/>
      <c r="AK208" s="175"/>
      <c r="AL208" s="208"/>
      <c r="AM208" s="208"/>
    </row>
    <row r="209" spans="1:39" ht="12" customHeight="1" x14ac:dyDescent="0.25">
      <c r="A209" s="200" t="s">
        <v>364</v>
      </c>
      <c r="B209" s="37">
        <f t="shared" si="84"/>
        <v>161.00127538118977</v>
      </c>
      <c r="C209" s="161">
        <f t="shared" si="85"/>
        <v>1.2129032258064519E-2</v>
      </c>
      <c r="D209" s="26">
        <f t="shared" si="86"/>
        <v>0.29109677419354846</v>
      </c>
      <c r="E209" s="118">
        <v>0</v>
      </c>
      <c r="F209" s="118">
        <f t="shared" si="65"/>
        <v>0.11096076681842183</v>
      </c>
      <c r="G209" s="147">
        <f t="shared" si="87"/>
        <v>295.58967338959798</v>
      </c>
      <c r="H209" s="148">
        <f t="shared" si="66"/>
        <v>0.6083479144968712</v>
      </c>
      <c r="I209" s="149">
        <f t="shared" si="67"/>
        <v>0.32788433564964647</v>
      </c>
      <c r="J209" s="150">
        <f t="shared" si="68"/>
        <v>4.4460314741011731</v>
      </c>
      <c r="K209" s="151">
        <f t="shared" si="69"/>
        <v>2.4440843982471892E-5</v>
      </c>
      <c r="L209" s="151">
        <f t="shared" si="70"/>
        <v>2.903467234852647E-5</v>
      </c>
      <c r="M209" s="152">
        <f t="shared" si="71"/>
        <v>902.68609872634579</v>
      </c>
      <c r="N209" s="153">
        <f t="shared" si="72"/>
        <v>8.8648711135089459E-2</v>
      </c>
      <c r="O209" s="154">
        <f t="shared" si="73"/>
        <v>0.66717005118619921</v>
      </c>
      <c r="P209" s="155">
        <f t="shared" si="74"/>
        <v>0.68149284401536347</v>
      </c>
      <c r="Q209" s="154">
        <f t="shared" si="75"/>
        <v>4.5000879356943781E-2</v>
      </c>
      <c r="R209" s="154">
        <f t="shared" si="88"/>
        <v>0.32168519284114894</v>
      </c>
      <c r="S209" s="154">
        <f t="shared" si="89"/>
        <v>0.21597445384018044</v>
      </c>
      <c r="T209" s="154">
        <f t="shared" si="76"/>
        <v>5.8560000000000008</v>
      </c>
      <c r="U209" s="154">
        <f t="shared" si="90"/>
        <v>27.195242821432576</v>
      </c>
      <c r="V209" s="157">
        <f t="shared" si="77"/>
        <v>1.3514678414139274</v>
      </c>
      <c r="W209" s="158">
        <f t="shared" si="78"/>
        <v>1.2551509014867165E-2</v>
      </c>
      <c r="X209" s="157">
        <f t="shared" si="79"/>
        <v>6.1606262196687442</v>
      </c>
      <c r="Y209" s="143">
        <f t="shared" si="80"/>
        <v>292.5093602797636</v>
      </c>
      <c r="Z209" s="157">
        <f t="shared" si="81"/>
        <v>1.3205369129607418</v>
      </c>
      <c r="AA209" s="158">
        <f t="shared" si="82"/>
        <v>1.2143084830413363E-2</v>
      </c>
      <c r="AB209" s="157">
        <f t="shared" si="83"/>
        <v>6.0190812793376622</v>
      </c>
      <c r="AC209" s="157">
        <f t="shared" si="91"/>
        <v>164.88129642714387</v>
      </c>
      <c r="AD209"/>
      <c r="AE209"/>
      <c r="AF209"/>
      <c r="AG209"/>
      <c r="AH209"/>
      <c r="AI209"/>
      <c r="AJ209"/>
      <c r="AK209" s="175"/>
      <c r="AL209" s="208"/>
      <c r="AM209" s="208"/>
    </row>
    <row r="210" spans="1:39" ht="12" customHeight="1" x14ac:dyDescent="0.25">
      <c r="A210" s="200" t="s">
        <v>364</v>
      </c>
      <c r="B210" s="37">
        <f t="shared" si="84"/>
        <v>161.00127538118977</v>
      </c>
      <c r="C210" s="161">
        <f t="shared" si="85"/>
        <v>1.2129032258064519E-2</v>
      </c>
      <c r="D210" s="26">
        <f t="shared" si="86"/>
        <v>0.30322580645161296</v>
      </c>
      <c r="E210" s="118">
        <v>0</v>
      </c>
      <c r="F210" s="118">
        <f t="shared" si="65"/>
        <v>0.11074854598107992</v>
      </c>
      <c r="G210" s="147">
        <f t="shared" si="87"/>
        <v>289.57059211026029</v>
      </c>
      <c r="H210" s="148">
        <f t="shared" si="66"/>
        <v>0.61614462882407373</v>
      </c>
      <c r="I210" s="149">
        <f t="shared" si="67"/>
        <v>0.32373527651996803</v>
      </c>
      <c r="J210" s="150">
        <f t="shared" si="68"/>
        <v>4.389771246109774</v>
      </c>
      <c r="K210" s="151">
        <f t="shared" si="69"/>
        <v>2.4440843982471892E-5</v>
      </c>
      <c r="L210" s="151">
        <f t="shared" si="70"/>
        <v>2.8836047702137901E-5</v>
      </c>
      <c r="M210" s="152">
        <f t="shared" si="71"/>
        <v>908.90386161158699</v>
      </c>
      <c r="N210" s="153">
        <f t="shared" si="72"/>
        <v>8.8479163787447579E-2</v>
      </c>
      <c r="O210" s="154">
        <f t="shared" si="73"/>
        <v>0.65746779314934756</v>
      </c>
      <c r="P210" s="155">
        <f t="shared" si="74"/>
        <v>0.68145870568771483</v>
      </c>
      <c r="Q210" s="154">
        <f t="shared" si="75"/>
        <v>4.4699509976368623E-2</v>
      </c>
      <c r="R210" s="154">
        <f t="shared" si="88"/>
        <v>0.31733756700538429</v>
      </c>
      <c r="S210" s="154">
        <f t="shared" si="89"/>
        <v>0.21299454694703313</v>
      </c>
      <c r="T210" s="154">
        <f t="shared" si="76"/>
        <v>5.8560000000000008</v>
      </c>
      <c r="U210" s="154">
        <f t="shared" si="90"/>
        <v>27.013117191871483</v>
      </c>
      <c r="V210" s="157">
        <f t="shared" si="77"/>
        <v>1.2823813397939705</v>
      </c>
      <c r="W210" s="158">
        <f t="shared" si="78"/>
        <v>1.1759599849441266E-2</v>
      </c>
      <c r="X210" s="157">
        <f t="shared" si="79"/>
        <v>5.845018695818089</v>
      </c>
      <c r="Y210" s="143">
        <f t="shared" si="80"/>
        <v>286.64808276235124</v>
      </c>
      <c r="Z210" s="157">
        <f t="shared" si="81"/>
        <v>1.2532315274711008</v>
      </c>
      <c r="AA210" s="158">
        <f t="shared" si="82"/>
        <v>1.1384150142026756E-2</v>
      </c>
      <c r="AB210" s="157">
        <f t="shared" si="83"/>
        <v>5.7116671393689966</v>
      </c>
      <c r="AC210" s="157">
        <f t="shared" si="91"/>
        <v>166.145912104757</v>
      </c>
      <c r="AD210"/>
      <c r="AE210"/>
      <c r="AF210"/>
      <c r="AG210"/>
      <c r="AH210"/>
      <c r="AI210"/>
      <c r="AJ210"/>
      <c r="AK210" s="175"/>
      <c r="AL210" s="208"/>
      <c r="AM210" s="208"/>
    </row>
    <row r="211" spans="1:39" ht="12" customHeight="1" x14ac:dyDescent="0.2">
      <c r="A211" s="200" t="s">
        <v>365</v>
      </c>
      <c r="B211" s="37">
        <f t="shared" si="84"/>
        <v>161.00127538118977</v>
      </c>
      <c r="C211" s="161">
        <v>0</v>
      </c>
      <c r="D211" s="26">
        <f t="shared" si="86"/>
        <v>0.30322580645161296</v>
      </c>
      <c r="E211" s="118">
        <v>1</v>
      </c>
      <c r="F211" s="118">
        <f t="shared" si="65"/>
        <v>1</v>
      </c>
      <c r="G211" s="147">
        <f t="shared" si="87"/>
        <v>283.85892497089128</v>
      </c>
      <c r="H211" s="148">
        <f t="shared" si="66"/>
        <v>0.62378969123709571</v>
      </c>
      <c r="I211" s="149">
        <f t="shared" si="67"/>
        <v>0.31976763096721172</v>
      </c>
      <c r="J211" s="150">
        <f t="shared" si="68"/>
        <v>4.3359709418937138</v>
      </c>
      <c r="K211" s="151">
        <f t="shared" si="69"/>
        <v>2.4440843982471892E-5</v>
      </c>
      <c r="L211" s="151">
        <f t="shared" si="70"/>
        <v>2.8646976881595042E-5</v>
      </c>
      <c r="M211" s="152">
        <f t="shared" si="71"/>
        <v>914.90265162771186</v>
      </c>
      <c r="N211" s="153">
        <f t="shared" si="72"/>
        <v>8.8317531537370417E-2</v>
      </c>
      <c r="O211" s="154">
        <f t="shared" si="73"/>
        <v>5.8638239606996949</v>
      </c>
      <c r="P211" s="155">
        <f t="shared" si="74"/>
        <v>0.68143599978102931</v>
      </c>
      <c r="Q211" s="154">
        <f t="shared" si="75"/>
        <v>4.4413532514367554E-2</v>
      </c>
      <c r="R211" s="154"/>
      <c r="S211" s="154"/>
      <c r="T211" s="154">
        <f t="shared" si="76"/>
        <v>0</v>
      </c>
      <c r="U211" s="154">
        <f t="shared" si="90"/>
        <v>0</v>
      </c>
      <c r="V211" s="157">
        <f t="shared" si="77"/>
        <v>0</v>
      </c>
      <c r="W211" s="158">
        <f t="shared" si="78"/>
        <v>0</v>
      </c>
      <c r="X211" s="157">
        <f t="shared" si="79"/>
        <v>0</v>
      </c>
      <c r="Y211" s="143">
        <f t="shared" si="80"/>
        <v>283.85892497089128</v>
      </c>
      <c r="Z211" s="157">
        <f t="shared" si="81"/>
        <v>0</v>
      </c>
      <c r="AA211" s="158">
        <f t="shared" si="82"/>
        <v>0</v>
      </c>
      <c r="AB211" s="157">
        <f t="shared" si="83"/>
        <v>0</v>
      </c>
      <c r="AC211" s="157">
        <f t="shared" si="91"/>
        <v>166.145912104757</v>
      </c>
      <c r="AD211" s="123"/>
      <c r="AE211" s="123"/>
      <c r="AF211" s="108"/>
      <c r="AG211" s="125"/>
      <c r="AH211" s="209"/>
      <c r="AI211" s="104"/>
      <c r="AJ211" s="104"/>
      <c r="AK211" s="175"/>
      <c r="AL211" s="208"/>
      <c r="AM211" s="208"/>
    </row>
    <row r="212" spans="1:39" ht="12" customHeight="1" x14ac:dyDescent="0.2">
      <c r="A212" s="36"/>
      <c r="B212" s="1"/>
      <c r="C212" s="1"/>
      <c r="D212" s="1"/>
      <c r="E212" s="1"/>
      <c r="F212" s="163"/>
      <c r="G212" s="119"/>
      <c r="H212" s="1"/>
      <c r="I212" s="37"/>
      <c r="J212" s="1"/>
      <c r="K212" s="1"/>
      <c r="L212" s="108"/>
      <c r="M212" s="1"/>
      <c r="N212" s="164"/>
      <c r="O212" s="1"/>
      <c r="P212" s="1"/>
      <c r="Q212" s="1"/>
      <c r="R212" s="1"/>
      <c r="S212" s="1"/>
      <c r="T212" s="1"/>
      <c r="U212" s="1"/>
      <c r="V212" s="167"/>
      <c r="Y212" s="169"/>
      <c r="Z212" s="1"/>
      <c r="AA212" s="168"/>
      <c r="AB212" s="169"/>
      <c r="AC212" s="168"/>
      <c r="AD212" s="14"/>
      <c r="AE212" s="14"/>
      <c r="AF212" s="14"/>
      <c r="AG212" s="106"/>
      <c r="AH212" s="210"/>
      <c r="AI212" s="28"/>
      <c r="AJ212" s="28"/>
      <c r="AK212" s="211"/>
      <c r="AL212" s="28"/>
      <c r="AM212" s="28"/>
    </row>
    <row r="213" spans="1:39" ht="12" customHeight="1" x14ac:dyDescent="0.2">
      <c r="A213" s="36" t="s">
        <v>366</v>
      </c>
      <c r="B213" s="12">
        <f>G211</f>
        <v>283.85892497089128</v>
      </c>
      <c r="C213" s="1" t="s">
        <v>13</v>
      </c>
      <c r="D213" s="1"/>
      <c r="E213" s="37">
        <f>(B213)*1.8+32</f>
        <v>542.94606494760433</v>
      </c>
      <c r="F213" s="1" t="s">
        <v>144</v>
      </c>
      <c r="G213" s="13"/>
      <c r="H213" s="1"/>
      <c r="N213" s="1"/>
      <c r="O213" s="1"/>
      <c r="P213" s="1"/>
      <c r="Q213" s="1"/>
      <c r="R213" s="1"/>
      <c r="S213" s="1"/>
      <c r="T213" s="1"/>
      <c r="U213" s="1"/>
      <c r="V213" s="168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38"/>
      <c r="AI213" s="166"/>
      <c r="AJ213" s="212"/>
    </row>
    <row r="214" spans="1:39" ht="12" customHeight="1" x14ac:dyDescent="0.2">
      <c r="A214" s="36" t="s">
        <v>294</v>
      </c>
      <c r="B214" s="1"/>
      <c r="C214" s="99"/>
      <c r="D214" s="1"/>
      <c r="E214" s="1"/>
      <c r="F214" s="1"/>
      <c r="G214" s="1"/>
      <c r="H214" s="1"/>
      <c r="N214" s="1"/>
      <c r="O214" s="1"/>
      <c r="P214" s="1"/>
      <c r="Q214" s="1"/>
      <c r="R214" s="1"/>
      <c r="S214" s="1"/>
      <c r="T214" s="1"/>
      <c r="U214" s="1"/>
      <c r="V214" s="168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38"/>
      <c r="AI214" s="166"/>
      <c r="AJ214" s="212"/>
    </row>
    <row r="215" spans="1:39" ht="12" customHeight="1" x14ac:dyDescent="0.2">
      <c r="A215" s="36" t="s">
        <v>367</v>
      </c>
      <c r="B215" s="26">
        <f>C121</f>
        <v>4.9725718173258766</v>
      </c>
      <c r="C215" s="1" t="s">
        <v>268</v>
      </c>
      <c r="D215" s="1"/>
      <c r="E215" s="1"/>
      <c r="F215" s="1"/>
      <c r="G215" s="1"/>
      <c r="H215" s="1"/>
      <c r="N215" s="1"/>
      <c r="O215" s="1"/>
      <c r="P215" s="1"/>
      <c r="Q215" s="1"/>
      <c r="R215" s="1"/>
      <c r="S215" s="1"/>
      <c r="T215" s="1"/>
      <c r="U215" s="1"/>
      <c r="V215" s="168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38"/>
      <c r="AI215" s="166"/>
      <c r="AJ215" s="212"/>
    </row>
    <row r="216" spans="1:39" ht="12" customHeight="1" x14ac:dyDescent="0.2">
      <c r="A216" s="36" t="s">
        <v>368</v>
      </c>
      <c r="B216" s="26">
        <f>(AC211*B160)/1000</f>
        <v>4.3197937147236818</v>
      </c>
      <c r="C216" s="1" t="s">
        <v>268</v>
      </c>
      <c r="D216" s="1"/>
      <c r="E216" s="1"/>
      <c r="F216" s="1"/>
      <c r="G216" s="1"/>
      <c r="H216" s="1"/>
      <c r="N216" s="1"/>
      <c r="O216" s="1"/>
      <c r="P216" s="1"/>
      <c r="Q216" s="1"/>
      <c r="R216" s="1"/>
      <c r="S216" s="1"/>
      <c r="T216" s="1"/>
      <c r="U216" s="1"/>
      <c r="V216" s="168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38"/>
      <c r="AI216" s="166"/>
      <c r="AJ216" s="212"/>
    </row>
    <row r="217" spans="1:39" ht="12" customHeight="1" x14ac:dyDescent="0.2">
      <c r="A217" s="36" t="s">
        <v>369</v>
      </c>
      <c r="B217" s="26">
        <f>B161*B163*PI()*B166/(B160*B165*PI()*B166)*B216</f>
        <v>1.5112061912211714</v>
      </c>
      <c r="C217" s="1" t="s">
        <v>268</v>
      </c>
      <c r="D217" s="1" t="s">
        <v>370</v>
      </c>
      <c r="E217" s="1"/>
      <c r="N217" s="1"/>
      <c r="O217" s="1"/>
      <c r="P217" s="1"/>
      <c r="S217" s="26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38"/>
    </row>
    <row r="218" spans="1:39" ht="12" customHeight="1" x14ac:dyDescent="0.2">
      <c r="A218" s="36" t="s">
        <v>371</v>
      </c>
      <c r="B218" s="26">
        <f>C132/1000</f>
        <v>0.76002082605977894</v>
      </c>
      <c r="C218" s="1" t="s">
        <v>268</v>
      </c>
      <c r="D218" s="1"/>
      <c r="E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S218" s="37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38"/>
    </row>
    <row r="219" spans="1:39" ht="12" customHeight="1" x14ac:dyDescent="0.2">
      <c r="A219" s="36" t="s">
        <v>372</v>
      </c>
      <c r="B219" s="99">
        <f>(D219-'Data Input'!B8)*B155*B153</f>
        <v>1.1372382071545479</v>
      </c>
      <c r="C219" s="1" t="s">
        <v>373</v>
      </c>
      <c r="D219" s="12">
        <f>B6</f>
        <v>161.00127538118977</v>
      </c>
      <c r="E219" s="1" t="s">
        <v>374</v>
      </c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S219" s="26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38"/>
    </row>
    <row r="220" spans="1:39" ht="12" customHeight="1" x14ac:dyDescent="0.2">
      <c r="E220" s="1"/>
      <c r="F220" s="1"/>
      <c r="G220" s="1"/>
      <c r="H220" s="37"/>
      <c r="I220" s="1"/>
      <c r="J220" s="1"/>
      <c r="K220" s="1"/>
      <c r="L220" s="1"/>
      <c r="M220" s="1"/>
      <c r="N220" s="1"/>
      <c r="O220" s="1"/>
      <c r="P220" s="1"/>
      <c r="S220" s="99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38"/>
    </row>
    <row r="221" spans="1:39" ht="12" customHeight="1" x14ac:dyDescent="0.2">
      <c r="A221" s="9" t="s">
        <v>375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S221" s="26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38"/>
    </row>
    <row r="222" spans="1:39" ht="12" customHeight="1" x14ac:dyDescent="0.2">
      <c r="A222" s="36" t="s">
        <v>376</v>
      </c>
      <c r="B222" s="6">
        <f>(B215+B216+B217-B218)/(B10-B5)</f>
        <v>3.7404676459198744E-3</v>
      </c>
      <c r="C222" s="1" t="s">
        <v>301</v>
      </c>
      <c r="D222" s="37">
        <f>B222/0.454*3600</f>
        <v>29.660095870730281</v>
      </c>
      <c r="E222" s="1" t="s">
        <v>377</v>
      </c>
      <c r="F222" s="1" t="s">
        <v>378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S222" s="26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38"/>
    </row>
    <row r="223" spans="1:39" ht="12" customHeight="1" x14ac:dyDescent="0.2">
      <c r="G223" s="1"/>
      <c r="H223" s="1"/>
      <c r="I223" s="1"/>
      <c r="J223" s="1"/>
      <c r="K223" s="1"/>
      <c r="L223" s="1"/>
      <c r="M223" s="1"/>
      <c r="N223" s="1"/>
      <c r="O223" s="1"/>
      <c r="P223" s="1"/>
      <c r="S223" s="26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38"/>
    </row>
    <row r="224" spans="1:39" ht="12" customHeight="1" x14ac:dyDescent="0.2">
      <c r="A224" s="36" t="s">
        <v>379</v>
      </c>
      <c r="B224" s="13">
        <f>SUM(O185:O211)</f>
        <v>35.492294765743019</v>
      </c>
      <c r="C224" s="1" t="s">
        <v>280</v>
      </c>
      <c r="E224" s="99">
        <f>B224/1000/9.81*1000</f>
        <v>3.6179709241328251</v>
      </c>
      <c r="F224" s="1" t="s">
        <v>380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S224" s="99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38"/>
    </row>
    <row r="225" spans="1:87" ht="12" customHeight="1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3"/>
    </row>
    <row r="226" spans="1:87" ht="12" customHeight="1" x14ac:dyDescent="0.25">
      <c r="A226"/>
      <c r="B226"/>
      <c r="C226"/>
      <c r="D226"/>
      <c r="E226"/>
      <c r="F226"/>
      <c r="G226"/>
      <c r="H226"/>
      <c r="I226"/>
    </row>
    <row r="227" spans="1:87" ht="12" customHeight="1" x14ac:dyDescent="0.2">
      <c r="A227" s="32" t="s">
        <v>381</v>
      </c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88"/>
      <c r="AV227" s="33"/>
      <c r="AW227" s="33"/>
      <c r="AX227" s="33"/>
      <c r="AY227" s="33"/>
      <c r="AZ227" s="33"/>
      <c r="BA227" s="33"/>
      <c r="BB227" s="33"/>
      <c r="BC227" s="33"/>
      <c r="BD227" s="33"/>
      <c r="BE227" s="33"/>
      <c r="BF227" s="33"/>
      <c r="BG227" s="33"/>
      <c r="BH227" s="33"/>
      <c r="BI227" s="33"/>
      <c r="BJ227" s="33"/>
      <c r="BK227" s="33"/>
      <c r="BL227" s="33"/>
      <c r="BM227" s="33"/>
      <c r="BN227" s="33"/>
      <c r="BO227" s="33"/>
      <c r="BP227" s="33"/>
      <c r="BQ227" s="33"/>
      <c r="BR227" s="33"/>
      <c r="BS227" s="33"/>
      <c r="BT227" s="33"/>
      <c r="BU227" s="33"/>
      <c r="BV227" s="33"/>
      <c r="BW227" s="1"/>
      <c r="BX227" s="1"/>
      <c r="CD227" s="35"/>
      <c r="CE227" s="1"/>
      <c r="CF227" s="1"/>
      <c r="CG227" s="1"/>
      <c r="CH227" s="1"/>
      <c r="CI227" s="1"/>
    </row>
    <row r="228" spans="1:87" ht="12" customHeight="1" x14ac:dyDescent="0.2">
      <c r="A228" s="36" t="s">
        <v>334</v>
      </c>
      <c r="B228" s="1">
        <f>'Data Input'!B42</f>
        <v>5</v>
      </c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4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CD228" s="38"/>
      <c r="CE228" s="1"/>
      <c r="CF228" s="1"/>
      <c r="CG228" s="1"/>
      <c r="CH228" s="1"/>
      <c r="CI228" s="1"/>
    </row>
    <row r="229" spans="1:87" ht="12" customHeight="1" x14ac:dyDescent="0.2">
      <c r="A229" s="36" t="s">
        <v>68</v>
      </c>
      <c r="B229" s="1">
        <f>'Data Input'!B43</f>
        <v>1</v>
      </c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4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CD229" s="38"/>
      <c r="CE229" s="1"/>
      <c r="CF229" s="1"/>
      <c r="CG229" s="1"/>
      <c r="CH229" s="1"/>
      <c r="CI229" s="1"/>
    </row>
    <row r="230" spans="1:87" ht="12" customHeight="1" x14ac:dyDescent="0.2">
      <c r="A230" s="36" t="s">
        <v>382</v>
      </c>
      <c r="B230" s="12">
        <f>C116</f>
        <v>1034.2609350901587</v>
      </c>
      <c r="C230" s="1" t="s">
        <v>13</v>
      </c>
      <c r="D230" s="1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4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CD230" s="38"/>
    </row>
    <row r="231" spans="1:87" ht="12" customHeight="1" x14ac:dyDescent="0.2">
      <c r="A231" s="36" t="s">
        <v>383</v>
      </c>
      <c r="B231" s="213">
        <f>D178</f>
        <v>3.8572581749665437E-4</v>
      </c>
      <c r="C231" s="1" t="s">
        <v>153</v>
      </c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37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4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CD231" s="38"/>
    </row>
    <row r="232" spans="1:87" ht="12" customHeight="1" x14ac:dyDescent="0.2">
      <c r="A232" s="36" t="s">
        <v>25</v>
      </c>
      <c r="B232" s="1">
        <f>'Data Input'!B15</f>
        <v>1.1100000000000001</v>
      </c>
      <c r="C232" s="1" t="s">
        <v>26</v>
      </c>
      <c r="D232" s="1" t="s">
        <v>331</v>
      </c>
      <c r="E232" s="19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37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4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CD232" s="38"/>
    </row>
    <row r="233" spans="1:87" ht="12" customHeight="1" x14ac:dyDescent="0.2">
      <c r="A233" s="14" t="s">
        <v>28</v>
      </c>
      <c r="B233" s="102">
        <f>'Data Input'!B16</f>
        <v>0.9</v>
      </c>
      <c r="C233" s="14" t="s">
        <v>29</v>
      </c>
      <c r="D233" s="175"/>
      <c r="E233" s="19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37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4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CD233" s="38"/>
    </row>
    <row r="234" spans="1:87" ht="12" customHeight="1" x14ac:dyDescent="0.2"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37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4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CD234" s="38"/>
    </row>
    <row r="235" spans="1:87" ht="12" customHeight="1" x14ac:dyDescent="0.2">
      <c r="A235" s="36" t="s">
        <v>31</v>
      </c>
      <c r="B235" s="27">
        <f>'Data Input'!B17</f>
        <v>1.6</v>
      </c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37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4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CD235" s="38"/>
    </row>
    <row r="236" spans="1:87" ht="12" customHeight="1" x14ac:dyDescent="0.2">
      <c r="A236" s="36" t="s">
        <v>338</v>
      </c>
      <c r="B236" s="99">
        <f>'Data Input'!B41</f>
        <v>17.627599999999997</v>
      </c>
      <c r="C236" s="1" t="s">
        <v>56</v>
      </c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4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CD236" s="38"/>
    </row>
    <row r="237" spans="1:87" ht="12" customHeight="1" x14ac:dyDescent="0.2">
      <c r="A237" s="36" t="s">
        <v>341</v>
      </c>
      <c r="B237" s="1">
        <f>'Data Input'!B44</f>
        <v>6.35</v>
      </c>
      <c r="C237" s="1" t="s">
        <v>56</v>
      </c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4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CD237" s="38"/>
    </row>
    <row r="238" spans="1:87" ht="12" customHeight="1" x14ac:dyDescent="0.2">
      <c r="A238" s="36" t="s">
        <v>384</v>
      </c>
      <c r="B238" s="1">
        <f>MAX(0.01,'Data Input'!B46)</f>
        <v>1</v>
      </c>
      <c r="C238" s="1" t="s">
        <v>385</v>
      </c>
      <c r="D238" s="37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4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CD238" s="38"/>
    </row>
    <row r="239" spans="1:87" ht="12" customHeight="1" x14ac:dyDescent="0.2">
      <c r="A239" s="1"/>
      <c r="B239" s="1" t="s">
        <v>386</v>
      </c>
      <c r="C239" s="1"/>
      <c r="D239" s="37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4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CD239" s="38"/>
    </row>
    <row r="240" spans="1:87" ht="12" customHeight="1" x14ac:dyDescent="0.2">
      <c r="A240" s="14" t="s">
        <v>387</v>
      </c>
      <c r="B240" s="156">
        <f>J65</f>
        <v>1446.9690340184807</v>
      </c>
      <c r="C240" s="1" t="s">
        <v>168</v>
      </c>
      <c r="D240" s="37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4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CD240" s="38"/>
    </row>
    <row r="241" spans="1:82" ht="12" customHeight="1" x14ac:dyDescent="0.2">
      <c r="A241" s="28" t="s">
        <v>305</v>
      </c>
      <c r="B241" s="12">
        <f>C124</f>
        <v>1328.8064683811604</v>
      </c>
      <c r="C241" s="1" t="s">
        <v>168</v>
      </c>
      <c r="D241" s="1" t="s">
        <v>388</v>
      </c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4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CD241" s="38"/>
    </row>
    <row r="242" spans="1:82" ht="12" customHeight="1" x14ac:dyDescent="0.2">
      <c r="A242" s="28" t="s">
        <v>389</v>
      </c>
      <c r="B242" s="12">
        <f>B109</f>
        <v>157.16412380339625</v>
      </c>
      <c r="C242" s="1" t="s">
        <v>56</v>
      </c>
      <c r="D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4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CD242" s="38"/>
    </row>
    <row r="243" spans="1:82" ht="12" customHeight="1" x14ac:dyDescent="0.2">
      <c r="A243" s="28" t="s">
        <v>390</v>
      </c>
      <c r="B243" s="12">
        <f>B75</f>
        <v>114.46428194813566</v>
      </c>
      <c r="C243" s="1" t="s">
        <v>56</v>
      </c>
      <c r="D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4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CD243" s="38"/>
    </row>
    <row r="244" spans="1:82" ht="12" customHeight="1" x14ac:dyDescent="0.2">
      <c r="A244" s="36" t="s">
        <v>24</v>
      </c>
      <c r="B244" s="37">
        <f>'Data Input'!B14</f>
        <v>1</v>
      </c>
      <c r="C244" s="1"/>
      <c r="D244" s="1"/>
      <c r="E244" s="9" t="s">
        <v>391</v>
      </c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4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CD244" s="38"/>
    </row>
    <row r="245" spans="1:82" ht="12" customHeight="1" x14ac:dyDescent="0.2">
      <c r="A245" s="36"/>
      <c r="B245" s="1"/>
      <c r="C245" s="1"/>
      <c r="D245" s="1"/>
      <c r="E245" s="1" t="s">
        <v>392</v>
      </c>
      <c r="F245" s="1"/>
      <c r="G245" s="1"/>
      <c r="H245" s="37">
        <f>B236^2*PI()/4-B237^2*PI()/4*2*B229</f>
        <v>180.71012851541514</v>
      </c>
      <c r="I245" s="1" t="s">
        <v>336</v>
      </c>
      <c r="J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4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CD245" s="38"/>
    </row>
    <row r="246" spans="1:82" ht="12" customHeight="1" x14ac:dyDescent="0.2">
      <c r="A246" s="36" t="s">
        <v>393</v>
      </c>
      <c r="B246" s="37">
        <f>B142</f>
        <v>5</v>
      </c>
      <c r="C246" s="1" t="s">
        <v>317</v>
      </c>
      <c r="D246" s="1"/>
      <c r="E246" s="1" t="s">
        <v>394</v>
      </c>
      <c r="F246" s="1"/>
      <c r="G246" s="1"/>
      <c r="H246" s="37">
        <f>H245*4/((B236+B237*2*B229)*PI())</f>
        <v>7.5867289782244534</v>
      </c>
      <c r="I246" s="1" t="s">
        <v>56</v>
      </c>
      <c r="J246" s="37" t="s">
        <v>340</v>
      </c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4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CD246" s="38"/>
    </row>
    <row r="247" spans="1:82" ht="12" customHeight="1" x14ac:dyDescent="0.2">
      <c r="A247" s="36" t="s">
        <v>92</v>
      </c>
      <c r="B247" s="37">
        <f>B6</f>
        <v>161.00127538118977</v>
      </c>
      <c r="C247" s="1" t="s">
        <v>13</v>
      </c>
      <c r="D247" s="1"/>
      <c r="E247" s="14" t="s">
        <v>395</v>
      </c>
      <c r="G247" s="1"/>
      <c r="H247" s="172">
        <f>1-EXP(-B233*H246/1000)</f>
        <v>6.8047978717084012E-3</v>
      </c>
      <c r="J247" s="1" t="s">
        <v>396</v>
      </c>
      <c r="K247" s="37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4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CD247" s="38"/>
    </row>
    <row r="248" spans="1:82" ht="12" customHeight="1" x14ac:dyDescent="0.2">
      <c r="A248" s="36" t="s">
        <v>397</v>
      </c>
      <c r="B248" s="12">
        <f>B147</f>
        <v>151.73760213532455</v>
      </c>
      <c r="C248" s="1" t="s">
        <v>13</v>
      </c>
      <c r="D248" s="1"/>
      <c r="E248" s="9" t="s">
        <v>398</v>
      </c>
      <c r="G248" s="1"/>
      <c r="H248" s="214">
        <f>1-EXP(-B233*B243/1000/2)</f>
        <v>5.0204828779991439E-2</v>
      </c>
      <c r="J248" s="9" t="s">
        <v>399</v>
      </c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4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CD248" s="38"/>
    </row>
    <row r="249" spans="1:82" ht="12" customHeight="1" x14ac:dyDescent="0.2">
      <c r="A249" s="36" t="s">
        <v>400</v>
      </c>
      <c r="B249" s="12">
        <f>B145</f>
        <v>2756.3356733952824</v>
      </c>
      <c r="C249" s="1" t="s">
        <v>90</v>
      </c>
      <c r="D249" s="1"/>
      <c r="E249" s="14" t="s">
        <v>401</v>
      </c>
      <c r="H249" s="214">
        <f>EXP(-B233*B242/1000)</f>
        <v>0.86810056614142483</v>
      </c>
      <c r="J249" s="1" t="s">
        <v>402</v>
      </c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12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4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CD249" s="38"/>
    </row>
    <row r="250" spans="1:82" ht="12" customHeight="1" x14ac:dyDescent="0.2">
      <c r="A250" s="36" t="s">
        <v>403</v>
      </c>
      <c r="B250" s="6">
        <f>B222</f>
        <v>3.7404676459198744E-3</v>
      </c>
      <c r="C250" s="1" t="s">
        <v>153</v>
      </c>
      <c r="D250" s="1"/>
      <c r="E250" s="9" t="s">
        <v>404</v>
      </c>
      <c r="H250" s="26">
        <f>1/(PI()*(B242/1000)^2)*1*0.5</f>
        <v>6.4433734062571704</v>
      </c>
      <c r="I250" s="9" t="s">
        <v>405</v>
      </c>
      <c r="J250" s="1" t="s">
        <v>406</v>
      </c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12"/>
      <c r="W250" s="1"/>
      <c r="X250" s="112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4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CD250" s="38"/>
    </row>
    <row r="251" spans="1:82" ht="12" customHeight="1" x14ac:dyDescent="0.2">
      <c r="A251" s="36" t="s">
        <v>407</v>
      </c>
      <c r="B251" s="6">
        <f>IF(B228=0,"N.A.",B250/B228/B229)</f>
        <v>7.4809352918397487E-4</v>
      </c>
      <c r="C251" s="1" t="s">
        <v>153</v>
      </c>
      <c r="D251" s="1"/>
      <c r="E251" s="1"/>
      <c r="F251" s="1"/>
      <c r="G251" s="1"/>
      <c r="H251" s="1"/>
      <c r="I251" s="1"/>
      <c r="J251" s="1" t="s">
        <v>408</v>
      </c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12"/>
      <c r="AO251" s="1"/>
      <c r="AP251" s="1"/>
      <c r="AQ251" s="1"/>
      <c r="AR251" s="1"/>
      <c r="AS251" s="1"/>
      <c r="AT251" s="1"/>
      <c r="AU251" s="14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CD251" s="38"/>
    </row>
    <row r="252" spans="1:82" ht="12" customHeight="1" x14ac:dyDescent="0.2">
      <c r="A252" s="1" t="s">
        <v>60</v>
      </c>
      <c r="B252" s="26">
        <f>'Data Input'!B38</f>
        <v>0.30322580645161296</v>
      </c>
      <c r="C252" s="1" t="s">
        <v>61</v>
      </c>
      <c r="D252" s="1" t="s">
        <v>409</v>
      </c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12"/>
      <c r="AO252" s="112"/>
      <c r="AP252" s="112"/>
      <c r="AQ252" s="1"/>
      <c r="AR252" s="1"/>
      <c r="AS252" s="1"/>
      <c r="AT252" s="1"/>
      <c r="AU252" s="14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CD252" s="38"/>
    </row>
    <row r="253" spans="1:82" ht="12" customHeight="1" x14ac:dyDescent="0.2">
      <c r="A253" s="36" t="s">
        <v>410</v>
      </c>
      <c r="B253" s="26">
        <f>'Data Input'!B45</f>
        <v>4.5211999999999994</v>
      </c>
      <c r="C253" s="1" t="s">
        <v>56</v>
      </c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15"/>
      <c r="AO253" s="115"/>
      <c r="AP253" s="1"/>
      <c r="AQ253" s="1"/>
      <c r="AR253" s="1"/>
      <c r="AS253" s="1"/>
      <c r="AT253" s="1"/>
      <c r="AU253" s="14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CD253" s="38"/>
    </row>
    <row r="254" spans="1:82" ht="12" customHeight="1" x14ac:dyDescent="0.2">
      <c r="A254" s="1" t="s">
        <v>74</v>
      </c>
      <c r="B254" s="1">
        <f>'Data Input'!B47</f>
        <v>0.30000000000000004</v>
      </c>
      <c r="C254" s="1" t="s">
        <v>56</v>
      </c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15"/>
      <c r="AO254" s="115"/>
      <c r="AP254" s="1"/>
      <c r="AQ254" s="1"/>
      <c r="AR254" s="1"/>
      <c r="AS254" s="1"/>
      <c r="AT254" s="1"/>
      <c r="AU254" s="14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CD254" s="38"/>
    </row>
    <row r="255" spans="1:82" ht="12" customHeight="1" x14ac:dyDescent="0.2">
      <c r="A255" s="1" t="s">
        <v>76</v>
      </c>
      <c r="B255" s="1">
        <f>'Data Input'!B48</f>
        <v>0.05</v>
      </c>
      <c r="C255" s="1" t="s">
        <v>56</v>
      </c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15"/>
      <c r="AO255" s="115"/>
      <c r="AP255" s="1"/>
      <c r="AQ255" s="1"/>
      <c r="AR255" s="1"/>
      <c r="AS255" s="1"/>
      <c r="AT255" s="1"/>
      <c r="AU255" s="14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CD255" s="38"/>
    </row>
    <row r="256" spans="1:82" ht="12" customHeight="1" x14ac:dyDescent="0.2"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15"/>
      <c r="AO256" s="115"/>
      <c r="AP256" s="115"/>
      <c r="AQ256" s="1"/>
      <c r="AR256" s="1"/>
      <c r="AS256" s="1"/>
      <c r="AT256" s="1"/>
      <c r="AU256" s="14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CD256" s="38"/>
    </row>
    <row r="257" spans="1:100" ht="12" customHeight="1" x14ac:dyDescent="0.2">
      <c r="A257" s="36"/>
      <c r="B257" s="37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15"/>
      <c r="AO257" s="115"/>
      <c r="AP257" s="115"/>
      <c r="AQ257" s="1"/>
      <c r="AR257" s="1"/>
      <c r="AS257" s="1"/>
      <c r="AT257" s="1"/>
      <c r="AU257" s="14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CD257" s="38"/>
    </row>
    <row r="258" spans="1:100" ht="12" customHeight="1" x14ac:dyDescent="0.2">
      <c r="A258" s="36" t="s">
        <v>411</v>
      </c>
      <c r="B258" s="26"/>
      <c r="C258" s="1"/>
      <c r="E258" s="1"/>
      <c r="F258" s="1"/>
      <c r="G258" s="1"/>
      <c r="H258" s="129"/>
      <c r="I258" s="12"/>
      <c r="J258" s="1"/>
      <c r="K258" s="1"/>
      <c r="L258" s="1"/>
      <c r="M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K258" s="1"/>
      <c r="AL258" s="1"/>
      <c r="AM258" s="1"/>
      <c r="AN258" s="1"/>
      <c r="AO258" s="1"/>
      <c r="AP258" s="9" t="s">
        <v>412</v>
      </c>
      <c r="AW258" s="1"/>
      <c r="AX258" s="1"/>
      <c r="AY258" s="1"/>
      <c r="AZ258" s="1"/>
      <c r="BA258" s="1"/>
      <c r="BE258" s="1"/>
      <c r="BF258" s="1"/>
      <c r="BG258" s="1"/>
      <c r="BH258" s="1"/>
      <c r="BI258" s="1"/>
      <c r="BJ258" s="1"/>
      <c r="BK258" s="1"/>
      <c r="BL258" s="1"/>
      <c r="BM258" s="1"/>
      <c r="BO258" s="215" t="s">
        <v>413</v>
      </c>
      <c r="BP258" s="216"/>
    </row>
    <row r="259" spans="1:100" ht="12" customHeight="1" x14ac:dyDescent="0.2">
      <c r="A259" s="36"/>
      <c r="B259" s="1"/>
      <c r="C259" s="217"/>
      <c r="D259" s="218"/>
      <c r="E259" s="217"/>
      <c r="F259" s="151"/>
      <c r="G259" s="133" t="s">
        <v>414</v>
      </c>
      <c r="H259" s="132"/>
      <c r="I259" s="132"/>
      <c r="J259" s="132"/>
      <c r="K259" s="132"/>
      <c r="L259" s="132"/>
      <c r="M259" s="132"/>
      <c r="N259" s="132"/>
      <c r="O259" s="132"/>
      <c r="P259" s="132"/>
      <c r="Q259" s="132"/>
      <c r="R259" s="132"/>
      <c r="S259" s="132"/>
      <c r="T259" s="132"/>
      <c r="U259" s="132"/>
      <c r="V259" s="132"/>
      <c r="W259" s="132"/>
      <c r="X259" s="132" t="s">
        <v>205</v>
      </c>
      <c r="Y259" s="1"/>
      <c r="Z259" s="217"/>
      <c r="AA259" s="217"/>
      <c r="AB259" s="217"/>
      <c r="AC259" s="217"/>
      <c r="AD259" s="217"/>
      <c r="AE259" s="217"/>
      <c r="AF259" s="217"/>
      <c r="AG259" s="217"/>
      <c r="AH259" s="217"/>
      <c r="AI259" s="217"/>
      <c r="AJ259" s="217"/>
      <c r="AK259" s="217"/>
      <c r="AL259" s="217"/>
      <c r="AM259" s="217"/>
      <c r="AN259" s="217"/>
      <c r="AO259" s="217"/>
      <c r="AP259" s="109" t="s">
        <v>415</v>
      </c>
      <c r="AT259" s="109" t="s">
        <v>416</v>
      </c>
      <c r="AW259" s="1"/>
      <c r="AX259" s="109" t="s">
        <v>417</v>
      </c>
      <c r="AY259" s="1"/>
      <c r="AZ259" s="219" t="s">
        <v>418</v>
      </c>
      <c r="BA259" s="217"/>
      <c r="BB259" s="217"/>
      <c r="BC259" s="109" t="s">
        <v>417</v>
      </c>
      <c r="BF259" s="1"/>
      <c r="BG259" s="109" t="s">
        <v>416</v>
      </c>
      <c r="BJ259" s="1"/>
      <c r="BK259" s="109" t="s">
        <v>419</v>
      </c>
      <c r="BO259" s="217"/>
      <c r="BP259" s="220"/>
    </row>
    <row r="260" spans="1:100" ht="12" customHeight="1" x14ac:dyDescent="0.2">
      <c r="A260" s="200"/>
      <c r="B260" s="221"/>
      <c r="C260" s="222" t="s">
        <v>420</v>
      </c>
      <c r="D260" s="223"/>
      <c r="E260" s="216"/>
      <c r="F260" s="224" t="s">
        <v>414</v>
      </c>
      <c r="G260" s="133" t="s">
        <v>195</v>
      </c>
      <c r="H260" s="132"/>
      <c r="I260" s="132"/>
      <c r="J260" s="132"/>
      <c r="K260" s="132"/>
      <c r="L260" s="132"/>
      <c r="M260" s="132"/>
      <c r="N260" s="132"/>
      <c r="O260" s="132"/>
      <c r="P260" s="132"/>
      <c r="Q260" s="132"/>
      <c r="R260" s="132"/>
      <c r="S260" s="132"/>
      <c r="T260" s="133"/>
      <c r="U260" s="133"/>
      <c r="V260" s="132"/>
      <c r="W260" s="133"/>
      <c r="X260" s="132" t="s">
        <v>421</v>
      </c>
      <c r="Y260" s="1"/>
      <c r="Z260" s="217"/>
      <c r="AA260" s="217"/>
      <c r="AB260" s="217"/>
      <c r="AC260" s="217"/>
      <c r="AD260" s="217"/>
      <c r="AE260" s="217" t="s">
        <v>422</v>
      </c>
      <c r="AF260" s="217"/>
      <c r="AG260" s="217"/>
      <c r="AH260" s="217"/>
      <c r="AI260" s="217"/>
      <c r="AJ260" s="217"/>
      <c r="AK260" s="225"/>
      <c r="AL260" s="225"/>
      <c r="AM260" s="217"/>
      <c r="AN260" s="217"/>
      <c r="AO260" s="217"/>
      <c r="AP260" s="109" t="s">
        <v>416</v>
      </c>
      <c r="AQ260" s="133" t="s">
        <v>177</v>
      </c>
      <c r="AS260" s="226" t="s">
        <v>423</v>
      </c>
      <c r="AT260" s="109" t="s">
        <v>424</v>
      </c>
      <c r="AU260" s="133" t="s">
        <v>177</v>
      </c>
      <c r="AV260" s="137" t="s">
        <v>425</v>
      </c>
      <c r="AW260" s="226" t="s">
        <v>423</v>
      </c>
      <c r="AX260" s="109" t="s">
        <v>416</v>
      </c>
      <c r="AZ260" s="218"/>
      <c r="BA260" s="217"/>
      <c r="BB260" s="225" t="s">
        <v>180</v>
      </c>
      <c r="BC260" s="109" t="s">
        <v>416</v>
      </c>
      <c r="BD260" s="133" t="s">
        <v>177</v>
      </c>
      <c r="BF260" s="226" t="s">
        <v>423</v>
      </c>
      <c r="BG260" s="109" t="s">
        <v>424</v>
      </c>
      <c r="BH260" s="133" t="s">
        <v>177</v>
      </c>
      <c r="BJ260" s="226" t="s">
        <v>423</v>
      </c>
      <c r="BK260" s="109" t="s">
        <v>416</v>
      </c>
      <c r="BL260" s="133" t="s">
        <v>177</v>
      </c>
      <c r="BM260" s="227"/>
      <c r="BN260" s="226" t="s">
        <v>423</v>
      </c>
      <c r="BO260" s="225"/>
      <c r="BP260" s="228"/>
      <c r="CB260" s="28"/>
      <c r="CC260" s="28"/>
      <c r="CD260" s="28"/>
      <c r="CE260" s="28"/>
      <c r="CF260" s="28"/>
      <c r="CG260" s="28"/>
      <c r="CH260" s="28"/>
      <c r="CI260" s="28"/>
      <c r="CJ260" s="28"/>
      <c r="CK260" s="28"/>
      <c r="CL260" s="28"/>
      <c r="CM260" s="28"/>
      <c r="CN260" s="28"/>
      <c r="CO260" s="28"/>
      <c r="CP260" s="28"/>
      <c r="CQ260" s="28"/>
      <c r="CR260" s="28"/>
      <c r="CS260" s="28"/>
      <c r="CT260" s="28"/>
      <c r="CU260" s="28"/>
      <c r="CV260" s="28"/>
    </row>
    <row r="261" spans="1:100" ht="12" customHeight="1" x14ac:dyDescent="0.2">
      <c r="A261" s="200"/>
      <c r="B261" s="112" t="s">
        <v>414</v>
      </c>
      <c r="C261" s="226" t="s">
        <v>426</v>
      </c>
      <c r="D261" s="225" t="s">
        <v>426</v>
      </c>
      <c r="E261" s="220" t="s">
        <v>426</v>
      </c>
      <c r="F261" s="133" t="s">
        <v>427</v>
      </c>
      <c r="G261" s="133" t="s">
        <v>243</v>
      </c>
      <c r="H261" s="133"/>
      <c r="I261" s="132" t="s">
        <v>197</v>
      </c>
      <c r="J261" s="132" t="s">
        <v>197</v>
      </c>
      <c r="K261" s="133" t="s">
        <v>428</v>
      </c>
      <c r="L261" s="132"/>
      <c r="M261" s="132"/>
      <c r="N261" s="132"/>
      <c r="O261" s="132"/>
      <c r="P261" s="132"/>
      <c r="Q261" s="133" t="s">
        <v>199</v>
      </c>
      <c r="R261" s="134"/>
      <c r="S261" s="133" t="s">
        <v>200</v>
      </c>
      <c r="T261" s="132" t="s">
        <v>256</v>
      </c>
      <c r="U261" s="132" t="s">
        <v>257</v>
      </c>
      <c r="V261" s="133" t="s">
        <v>257</v>
      </c>
      <c r="W261" s="133" t="s">
        <v>205</v>
      </c>
      <c r="X261" s="132" t="s">
        <v>429</v>
      </c>
      <c r="Y261" s="1"/>
      <c r="Z261" s="225"/>
      <c r="AA261" s="217" t="s">
        <v>197</v>
      </c>
      <c r="AB261" s="225" t="s">
        <v>428</v>
      </c>
      <c r="AC261" s="217"/>
      <c r="AD261" s="217"/>
      <c r="AE261" s="217"/>
      <c r="AF261" s="217"/>
      <c r="AG261" s="217"/>
      <c r="AH261" s="225" t="s">
        <v>199</v>
      </c>
      <c r="AI261" s="229"/>
      <c r="AJ261" s="225" t="s">
        <v>200</v>
      </c>
      <c r="AK261" s="225" t="s">
        <v>256</v>
      </c>
      <c r="AL261" s="225" t="s">
        <v>257</v>
      </c>
      <c r="AM261" s="225" t="s">
        <v>257</v>
      </c>
      <c r="AN261" s="225" t="s">
        <v>205</v>
      </c>
      <c r="AO261" s="217" t="s">
        <v>205</v>
      </c>
      <c r="AP261" s="109" t="s">
        <v>424</v>
      </c>
      <c r="AQ261" s="133" t="s">
        <v>430</v>
      </c>
      <c r="AR261" s="131" t="s">
        <v>431</v>
      </c>
      <c r="AS261" s="226" t="s">
        <v>426</v>
      </c>
      <c r="AT261" s="109" t="s">
        <v>196</v>
      </c>
      <c r="AU261" s="133" t="s">
        <v>430</v>
      </c>
      <c r="AV261" s="131" t="s">
        <v>431</v>
      </c>
      <c r="AW261" s="226" t="s">
        <v>426</v>
      </c>
      <c r="AX261" s="109" t="s">
        <v>424</v>
      </c>
      <c r="AZ261" s="225" t="s">
        <v>432</v>
      </c>
      <c r="BA261" s="225" t="s">
        <v>196</v>
      </c>
      <c r="BB261" s="225" t="s">
        <v>196</v>
      </c>
      <c r="BC261" s="109" t="s">
        <v>424</v>
      </c>
      <c r="BD261" s="133" t="s">
        <v>430</v>
      </c>
      <c r="BE261" s="131" t="s">
        <v>431</v>
      </c>
      <c r="BF261" s="226" t="s">
        <v>426</v>
      </c>
      <c r="BG261" s="109" t="s">
        <v>196</v>
      </c>
      <c r="BH261" s="133" t="s">
        <v>430</v>
      </c>
      <c r="BI261" s="131" t="s">
        <v>431</v>
      </c>
      <c r="BJ261" s="226" t="s">
        <v>426</v>
      </c>
      <c r="BK261" s="109" t="s">
        <v>424</v>
      </c>
      <c r="BL261" s="133" t="s">
        <v>430</v>
      </c>
      <c r="BM261" s="131" t="s">
        <v>431</v>
      </c>
      <c r="BN261" s="226" t="s">
        <v>426</v>
      </c>
      <c r="BO261" s="225" t="s">
        <v>432</v>
      </c>
      <c r="BP261" s="230"/>
      <c r="CB261" s="14"/>
      <c r="CC261" s="28"/>
      <c r="CD261" s="28"/>
      <c r="CE261" s="28"/>
      <c r="CF261" s="28"/>
      <c r="CG261" s="28"/>
      <c r="CH261" s="28"/>
      <c r="CI261" s="28"/>
      <c r="CJ261" s="28"/>
      <c r="CK261" s="28"/>
      <c r="CL261" s="28"/>
      <c r="CM261" s="28"/>
      <c r="CN261" s="28"/>
      <c r="CO261" s="28"/>
      <c r="CP261" s="28"/>
      <c r="CQ261" s="28"/>
      <c r="CR261" s="28"/>
      <c r="CS261" s="28"/>
      <c r="CT261" s="28"/>
      <c r="CU261" s="28"/>
      <c r="CV261" s="28"/>
    </row>
    <row r="262" spans="1:100" ht="12" customHeight="1" x14ac:dyDescent="0.2">
      <c r="A262" s="204"/>
      <c r="B262" s="115" t="s">
        <v>244</v>
      </c>
      <c r="C262" s="226" t="s">
        <v>214</v>
      </c>
      <c r="D262" s="225" t="s">
        <v>433</v>
      </c>
      <c r="E262" s="220" t="s">
        <v>432</v>
      </c>
      <c r="F262" s="133" t="s">
        <v>214</v>
      </c>
      <c r="G262" s="133" t="s">
        <v>61</v>
      </c>
      <c r="H262" s="134" t="s">
        <v>245</v>
      </c>
      <c r="I262" s="132" t="s">
        <v>196</v>
      </c>
      <c r="J262" s="132" t="s">
        <v>247</v>
      </c>
      <c r="K262" s="133" t="s">
        <v>434</v>
      </c>
      <c r="L262" s="134" t="s">
        <v>248</v>
      </c>
      <c r="M262" s="134" t="s">
        <v>249</v>
      </c>
      <c r="N262" s="132" t="s">
        <v>250</v>
      </c>
      <c r="O262" s="134" t="s">
        <v>251</v>
      </c>
      <c r="P262" s="134" t="s">
        <v>252</v>
      </c>
      <c r="Q262" s="134" t="s">
        <v>253</v>
      </c>
      <c r="R262" s="134" t="s">
        <v>254</v>
      </c>
      <c r="S262" s="132" t="s">
        <v>255</v>
      </c>
      <c r="T262" s="132" t="s">
        <v>282</v>
      </c>
      <c r="U262" s="132" t="s">
        <v>283</v>
      </c>
      <c r="V262" s="133" t="s">
        <v>260</v>
      </c>
      <c r="W262" s="133" t="s">
        <v>262</v>
      </c>
      <c r="X262" s="132" t="s">
        <v>435</v>
      </c>
      <c r="Y262" s="1"/>
      <c r="Z262" s="229" t="s">
        <v>245</v>
      </c>
      <c r="AA262" s="217" t="s">
        <v>247</v>
      </c>
      <c r="AB262" s="225" t="s">
        <v>434</v>
      </c>
      <c r="AC262" s="229" t="s">
        <v>248</v>
      </c>
      <c r="AD262" s="229" t="s">
        <v>249</v>
      </c>
      <c r="AE262" s="217" t="s">
        <v>250</v>
      </c>
      <c r="AF262" s="229" t="s">
        <v>251</v>
      </c>
      <c r="AG262" s="229" t="s">
        <v>252</v>
      </c>
      <c r="AH262" s="229" t="s">
        <v>253</v>
      </c>
      <c r="AI262" s="229" t="s">
        <v>254</v>
      </c>
      <c r="AJ262" s="225" t="s">
        <v>255</v>
      </c>
      <c r="AK262" s="225" t="s">
        <v>282</v>
      </c>
      <c r="AL262" s="225" t="s">
        <v>283</v>
      </c>
      <c r="AM262" s="225" t="s">
        <v>260</v>
      </c>
      <c r="AN262" s="225" t="s">
        <v>262</v>
      </c>
      <c r="AO262" s="217" t="s">
        <v>421</v>
      </c>
      <c r="AP262" s="109" t="s">
        <v>196</v>
      </c>
      <c r="AQ262" s="133" t="s">
        <v>436</v>
      </c>
      <c r="AR262" s="137" t="s">
        <v>437</v>
      </c>
      <c r="AS262" s="225" t="s">
        <v>438</v>
      </c>
      <c r="AT262" s="227" t="s">
        <v>439</v>
      </c>
      <c r="AU262" s="133" t="s">
        <v>436</v>
      </c>
      <c r="AV262" s="137" t="s">
        <v>437</v>
      </c>
      <c r="AW262" s="225" t="s">
        <v>438</v>
      </c>
      <c r="AX262" s="109" t="s">
        <v>196</v>
      </c>
      <c r="AY262" s="217" t="s">
        <v>438</v>
      </c>
      <c r="AZ262" s="225"/>
      <c r="BA262" s="225"/>
      <c r="BB262" s="225" t="s">
        <v>13</v>
      </c>
      <c r="BC262" s="109" t="s">
        <v>196</v>
      </c>
      <c r="BD262" s="133" t="s">
        <v>436</v>
      </c>
      <c r="BE262" s="137" t="s">
        <v>437</v>
      </c>
      <c r="BF262" s="225" t="s">
        <v>438</v>
      </c>
      <c r="BG262" s="227" t="s">
        <v>439</v>
      </c>
      <c r="BH262" s="133" t="s">
        <v>436</v>
      </c>
      <c r="BI262" s="137" t="s">
        <v>437</v>
      </c>
      <c r="BJ262" s="225" t="s">
        <v>438</v>
      </c>
      <c r="BK262" s="109" t="s">
        <v>196</v>
      </c>
      <c r="BL262" s="133" t="s">
        <v>436</v>
      </c>
      <c r="BM262" s="137" t="s">
        <v>437</v>
      </c>
      <c r="BN262" s="225" t="s">
        <v>438</v>
      </c>
      <c r="BO262" s="225"/>
      <c r="BP262" s="228" t="s">
        <v>196</v>
      </c>
      <c r="CB262" s="109"/>
      <c r="CC262" s="110"/>
      <c r="CD262" s="231"/>
      <c r="CE262" s="28"/>
      <c r="CF262" s="28"/>
      <c r="CG262" s="28"/>
      <c r="CH262" s="28"/>
      <c r="CI262" s="110"/>
      <c r="CJ262" s="110"/>
      <c r="CK262" s="110"/>
      <c r="CL262" s="110"/>
      <c r="CM262" s="110"/>
      <c r="CN262" s="110"/>
      <c r="CO262" s="28"/>
      <c r="CP262" s="28"/>
      <c r="CQ262" s="28"/>
      <c r="CR262" s="28"/>
      <c r="CS262" s="28"/>
      <c r="CT262" s="28"/>
      <c r="CU262" s="28"/>
      <c r="CV262" s="28"/>
    </row>
    <row r="263" spans="1:100" ht="12" customHeight="1" x14ac:dyDescent="0.2">
      <c r="A263" s="204" t="s">
        <v>440</v>
      </c>
      <c r="B263" s="115" t="s">
        <v>271</v>
      </c>
      <c r="C263" s="232" t="s">
        <v>47</v>
      </c>
      <c r="D263" s="233" t="s">
        <v>317</v>
      </c>
      <c r="E263" s="234" t="s">
        <v>90</v>
      </c>
      <c r="F263" s="133" t="s">
        <v>47</v>
      </c>
      <c r="G263" s="154">
        <v>0</v>
      </c>
      <c r="H263" s="134" t="s">
        <v>272</v>
      </c>
      <c r="I263" s="132" t="s">
        <v>273</v>
      </c>
      <c r="J263" s="134" t="s">
        <v>274</v>
      </c>
      <c r="K263" s="133" t="s">
        <v>273</v>
      </c>
      <c r="L263" s="134" t="s">
        <v>275</v>
      </c>
      <c r="M263" s="134" t="s">
        <v>276</v>
      </c>
      <c r="N263" s="132" t="s">
        <v>277</v>
      </c>
      <c r="O263" s="134" t="s">
        <v>278</v>
      </c>
      <c r="P263" s="134" t="s">
        <v>279</v>
      </c>
      <c r="Q263" s="134" t="s">
        <v>280</v>
      </c>
      <c r="R263" s="134" t="s">
        <v>278</v>
      </c>
      <c r="S263" s="132" t="s">
        <v>281</v>
      </c>
      <c r="T263" s="148">
        <f>IF(O264&lt;2500,(H$246/1000/(B$252-G263))^0.333333,1+(H$246/1000/(B$252-G263))^0.7)</f>
        <v>0.29248033443236288</v>
      </c>
      <c r="U263" s="148">
        <v>0</v>
      </c>
      <c r="V263" s="133"/>
      <c r="W263" s="133" t="s">
        <v>285</v>
      </c>
      <c r="X263" s="132" t="s">
        <v>441</v>
      </c>
      <c r="Y263" s="1"/>
      <c r="Z263" s="229" t="s">
        <v>272</v>
      </c>
      <c r="AA263" s="229" t="s">
        <v>274</v>
      </c>
      <c r="AB263" s="225" t="s">
        <v>273</v>
      </c>
      <c r="AC263" s="229" t="s">
        <v>275</v>
      </c>
      <c r="AD263" s="229" t="s">
        <v>276</v>
      </c>
      <c r="AE263" s="217" t="s">
        <v>277</v>
      </c>
      <c r="AF263" s="229" t="s">
        <v>278</v>
      </c>
      <c r="AG263" s="229" t="s">
        <v>279</v>
      </c>
      <c r="AH263" s="229" t="s">
        <v>280</v>
      </c>
      <c r="AI263" s="229" t="s">
        <v>278</v>
      </c>
      <c r="AJ263" s="225" t="s">
        <v>281</v>
      </c>
      <c r="AK263" s="235">
        <v>0</v>
      </c>
      <c r="AL263" s="235">
        <v>0</v>
      </c>
      <c r="AM263" s="225"/>
      <c r="AN263" s="225" t="s">
        <v>285</v>
      </c>
      <c r="AO263" s="217" t="s">
        <v>441</v>
      </c>
      <c r="AP263" s="109" t="s">
        <v>273</v>
      </c>
      <c r="AQ263" s="133" t="s">
        <v>286</v>
      </c>
      <c r="AR263" s="137" t="s">
        <v>286</v>
      </c>
      <c r="AS263" s="225" t="s">
        <v>286</v>
      </c>
      <c r="AT263" s="109" t="s">
        <v>273</v>
      </c>
      <c r="AU263" s="133" t="s">
        <v>286</v>
      </c>
      <c r="AV263" s="137" t="s">
        <v>286</v>
      </c>
      <c r="AW263" s="225" t="s">
        <v>286</v>
      </c>
      <c r="AX263" s="109" t="s">
        <v>273</v>
      </c>
      <c r="AY263" s="217" t="s">
        <v>286</v>
      </c>
      <c r="AZ263" s="225" t="s">
        <v>90</v>
      </c>
      <c r="BA263" s="225" t="s">
        <v>13</v>
      </c>
      <c r="BB263" s="235">
        <f>B248</f>
        <v>151.73760213532455</v>
      </c>
      <c r="BC263" s="109" t="s">
        <v>273</v>
      </c>
      <c r="BD263" s="133" t="s">
        <v>286</v>
      </c>
      <c r="BE263" s="137" t="s">
        <v>286</v>
      </c>
      <c r="BF263" s="225" t="s">
        <v>286</v>
      </c>
      <c r="BG263" s="109" t="s">
        <v>273</v>
      </c>
      <c r="BH263" s="133" t="s">
        <v>286</v>
      </c>
      <c r="BI263" s="137" t="s">
        <v>286</v>
      </c>
      <c r="BJ263" s="225" t="s">
        <v>286</v>
      </c>
      <c r="BK263" s="109" t="s">
        <v>273</v>
      </c>
      <c r="BL263" s="133" t="s">
        <v>286</v>
      </c>
      <c r="BM263" s="137" t="s">
        <v>286</v>
      </c>
      <c r="BN263" s="225" t="s">
        <v>286</v>
      </c>
      <c r="BO263" s="225" t="s">
        <v>90</v>
      </c>
      <c r="BP263" s="228" t="s">
        <v>13</v>
      </c>
      <c r="CB263" s="109"/>
      <c r="CC263" s="231"/>
      <c r="CD263" s="231"/>
      <c r="CE263" s="231"/>
      <c r="CF263" s="231"/>
      <c r="CG263" s="28"/>
      <c r="CH263" s="231"/>
      <c r="CI263" s="28"/>
      <c r="CJ263" s="110"/>
      <c r="CK263" s="110"/>
      <c r="CL263" s="231"/>
      <c r="CM263" s="231"/>
      <c r="CN263" s="110"/>
      <c r="CO263" s="28"/>
      <c r="CP263" s="28"/>
      <c r="CQ263" s="28"/>
      <c r="CR263" s="28"/>
      <c r="CS263" s="28"/>
      <c r="CT263" s="28"/>
      <c r="CU263" s="28"/>
      <c r="CV263" s="28"/>
    </row>
    <row r="264" spans="1:100" ht="12" customHeight="1" x14ac:dyDescent="0.2">
      <c r="A264" s="200" t="s">
        <v>442</v>
      </c>
      <c r="B264" s="118">
        <v>0</v>
      </c>
      <c r="C264" s="236">
        <f>B248</f>
        <v>151.73760213532455</v>
      </c>
      <c r="D264" s="237">
        <f>B246</f>
        <v>5</v>
      </c>
      <c r="E264" s="238">
        <f>B249</f>
        <v>2756.3356733952824</v>
      </c>
      <c r="F264" s="239">
        <f>G211-AB211/2</f>
        <v>283.85892497089128</v>
      </c>
      <c r="G264" s="154">
        <f t="shared" ref="G264:G288" si="92">G263+B$252/25</f>
        <v>1.2129032258064519E-2</v>
      </c>
      <c r="H264" s="149">
        <f t="shared" ref="H264:H289" si="93">IF((G264-G263)=0,B264,P264*(G264-G263)/H$246*1000)</f>
        <v>0.18100041445259291</v>
      </c>
      <c r="I264" s="240">
        <f t="shared" ref="I264:I289" si="94">F264</f>
        <v>283.85892497089128</v>
      </c>
      <c r="J264" s="154">
        <f t="shared" ref="J264:J289" si="95">20.583*I264^-0.619</f>
        <v>0.62378969123709571</v>
      </c>
      <c r="K264" s="241">
        <f t="shared" ref="K264:K289" si="96">I264</f>
        <v>283.85892497089128</v>
      </c>
      <c r="L264" s="150">
        <f t="shared" ref="L264:L289" si="97">$B$231/J264*1000</f>
        <v>0.61835875602831047</v>
      </c>
      <c r="M264" s="150">
        <f t="shared" ref="M264:M289" si="98">L264/1000/(H$245/1000000)</f>
        <v>3.4218267736750714</v>
      </c>
      <c r="N264" s="152">
        <f t="shared" ref="N264:N289" si="99">-0.0000000000088144*F264^2+0.000000038157*F264+0.000018526</f>
        <v>2.8646976881595042E-5</v>
      </c>
      <c r="O264" s="152">
        <f>J264*M264*$H$246/1000/N264</f>
        <v>565.29088893773371</v>
      </c>
      <c r="P264" s="153">
        <f t="shared" ref="P264:P289" si="100">MAX(64/O264,(0.25/(LOG(B$254/3.7/H$246+5.74/O264^0.9))^2))</f>
        <v>0.11321604726420691</v>
      </c>
      <c r="Q264" s="154">
        <f t="shared" ref="Q264:Q289" si="101">$H264*J264*(M264^2)/2</f>
        <v>0.66100357310405344</v>
      </c>
      <c r="R264" s="155">
        <f t="shared" ref="R264:R289" si="102">-0.00000000012044*F264^3+0.00000024927*F264^2-0.00010926*F264+0.69512</f>
        <v>0.68143599978102931</v>
      </c>
      <c r="S264" s="154">
        <f t="shared" ref="S264:S289" si="103">0.000050069*F264+0.030201</f>
        <v>4.4413532514367554E-2</v>
      </c>
      <c r="T264" s="148">
        <f t="shared" ref="T264:T288" si="104">IF(O265&lt;2500,(H$246/1000/(B$252-G263))^0.333333,1+(H$246/1000/(B$252-G263))^0.7)</f>
        <v>0.29248033443236288</v>
      </c>
      <c r="U264" s="148">
        <f t="shared" ref="U264:U288" si="105">(T264*(B$252-G263)-T265*(B$252-G264))/(G264-G263)</f>
        <v>0.19631056263276148</v>
      </c>
      <c r="V264" s="154">
        <f t="shared" ref="V264:V289" si="106">IF((G264-G263)=0,0,(IF(O264&lt;2500,MAX(1.86*O264^0.33333*R264^0.33333*U264,3.66)*B$235,0.023*O264^0.8*R264^0.33*U264)))</f>
        <v>5.8560000000000008</v>
      </c>
      <c r="W264" s="154">
        <f t="shared" ref="W264:W289" si="107">V264*S264/H$246*1000</f>
        <v>34.28165776721935</v>
      </c>
      <c r="X264" s="154">
        <f t="shared" ref="X264:X289" si="108">W264*1*$B$237/1000*PI()</f>
        <v>0.68388867663428621</v>
      </c>
      <c r="Y264" s="112"/>
      <c r="Z264" s="242">
        <f t="shared" ref="Z264:Z289" si="109">AG264*(G264-G263)/B$253*1000</f>
        <v>0.11657904275612732</v>
      </c>
      <c r="AA264" s="235">
        <f t="shared" ref="AA264:AA289" si="110">IF(E264&lt;(2677.2*D264^0.0161),1/(1.7023*D264^-0.9421),1/((0.004625-(1451200*(C264+273)^-4.0097)*D264)*(C264+273)/D264))</f>
        <v>2.6665055690170889</v>
      </c>
      <c r="AB264" s="236">
        <f t="shared" ref="AB264:AB289" si="111">C264</f>
        <v>151.73760213532455</v>
      </c>
      <c r="AC264" s="243">
        <f t="shared" ref="AC264:AC289" si="112">$B$251/AA264*1000</f>
        <v>0.28055202204574153</v>
      </c>
      <c r="AD264" s="243">
        <f t="shared" ref="AD264:AD289" si="113">AC264/1000/(($B$253/1000)^2/4*PI())</f>
        <v>17.474955719930264</v>
      </c>
      <c r="AE264" s="244">
        <f t="shared" ref="AE264:AE289" si="114">0.00000000000025781*C264^2+0.000000041392*C264+0.0000078303</f>
        <v>1.4116958722343032E-5</v>
      </c>
      <c r="AF264" s="244">
        <f t="shared" ref="AF264:AF289" si="115">AA264*AD264*$B$253/1000/AE264</f>
        <v>14923.51591539425</v>
      </c>
      <c r="AG264" s="245">
        <f t="shared" ref="AG264:AG289" si="116">MAX(64/AF264,(0.25/(LOG(B$255/3.7/B$253+5.74/AF264^0.9))^2))</f>
        <v>4.3455830349412451E-2</v>
      </c>
      <c r="AH264" s="244">
        <f t="shared" ref="AH264:AH289" si="117">$Z264*AA264*(AD264^2)/2</f>
        <v>47.464089280846672</v>
      </c>
      <c r="AI264" s="246">
        <f t="shared" ref="AI264:AI289" si="118">(0.00000055085*D264-0.0000000015237)*C264^2+(-0.00038915*D264-0.000099678)*C264+(0.068918*D264+0.96415)</f>
        <v>1.0617512558182589</v>
      </c>
      <c r="AJ264" s="235">
        <f t="shared" ref="AJ264:AJ289" si="119">(0.000000006099*D264+0.000000058342)*C264^2+(-0.000005447*D264+0.000072538)*C264+(0.001278*D264+0.01614)</f>
        <v>3.1449578319910867E-2</v>
      </c>
      <c r="AK264" s="235">
        <f t="shared" ref="AK264:AK289" si="120">IF(AF264&lt;2500,(B$253/1000/G264)^0.333333,(1+(B$253/1000/G264)^0.7))</f>
        <v>1.5011864229069563</v>
      </c>
      <c r="AL264" s="235">
        <f t="shared" ref="AL264:AL288" si="121">(AK264*G264-AK263*G263)/(G264-G263)</f>
        <v>1.5011864229069563</v>
      </c>
      <c r="AM264" s="235">
        <f t="shared" ref="AM264:AM289" si="122">(IF(AF264&lt;2500,MAX(1.86*AF264^0.33333*AI264^0.33333*AL264,3.66)*B$235,0.023*AF264^0.8*AI264^0.4*AL264))</f>
        <v>77.209101715569616</v>
      </c>
      <c r="AN264" s="235">
        <f t="shared" ref="AN264:AN289" si="123">AM264*AJ264/$B$253*1000</f>
        <v>537.06840914221266</v>
      </c>
      <c r="AO264" s="235">
        <f t="shared" ref="AO264:AO289" si="124">AN264*1*$B$253/1000*PI()</f>
        <v>7.6283954624385855</v>
      </c>
      <c r="AP264" s="247">
        <f>(F264+C264)/2</f>
        <v>217.79826355310792</v>
      </c>
      <c r="AQ264" s="248">
        <f t="shared" ref="AQ264:AQ289" si="125">($F264-AP264)*$X264*($G264-$G263)</f>
        <v>0.54796709697700541</v>
      </c>
      <c r="AR264" s="94">
        <f t="shared" ref="AR264:AR289" si="126">0.000000056703*$H$247*(($F264+273)^4-(AP264+273)^4)*($B$237/1000*PI())*($G264-$G263)</f>
        <v>3.5601218666378126E-3</v>
      </c>
      <c r="AS264" s="249">
        <f t="shared" ref="AS264:AS289" si="127">$AO264*($G264-$G263)*(AP264-$C264)</f>
        <v>6.1122663073135985</v>
      </c>
      <c r="AT264" s="247">
        <f t="shared" ref="AT264:AT289" si="128">AP264+1</f>
        <v>218.79826355310792</v>
      </c>
      <c r="AU264" s="248">
        <f t="shared" ref="AU264:AU289" si="129">($F264-AT264)*$X264*($G264-$G263)</f>
        <v>0.53967218915718307</v>
      </c>
      <c r="AV264" s="94">
        <f t="shared" ref="AV264:AV289" si="130">0.000000056703*$H$247*(($F264+273)^4-(AT264+273)^4)*($B$237/1000*PI())*($G264-$G263)</f>
        <v>3.515835796442675E-3</v>
      </c>
      <c r="AW264" s="249">
        <f t="shared" ref="AW264:AW289" si="131">$AO264*($G264-$G263)*(AT264-$C264)</f>
        <v>6.204791361954789</v>
      </c>
      <c r="AX264" s="247">
        <f t="shared" ref="AX264:AX288" si="132">AP264+(AQ264+AR264-AS264)/(AQ264+AR264-AS264-(AU264+AV264-AW264))</f>
        <v>162.66734085804171</v>
      </c>
      <c r="AY264" s="249">
        <f t="shared" ref="AY264:AY288" si="133">$AO264*($G264-$G263)*(AX264-$C264)</f>
        <v>1.0112746725333421</v>
      </c>
      <c r="AZ264" s="238">
        <f t="shared" ref="AZ264:AZ289" si="134">E264+AY264/1000/B$251</f>
        <v>2757.6874758545769</v>
      </c>
      <c r="BA264" s="250">
        <f t="shared" ref="BA264:BA289" si="135">IF(AZ264&lt;(2677.2*D264^0.0161),100.55*D264^0.2536,(AZ264+9.0877*D264-2486.6)/(0.0199*D264+1.9776))</f>
        <v>152.38841454652021</v>
      </c>
      <c r="BB264" s="235">
        <f t="shared" ref="BB264:BB289" si="136">(BB263+BA264)/2</f>
        <v>152.06300834092238</v>
      </c>
      <c r="BC264" s="247">
        <f t="shared" ref="BC264:BC289" si="137">AX264</f>
        <v>162.66734085804171</v>
      </c>
      <c r="BD264" s="248">
        <f t="shared" ref="BD264:BD289" si="138">($F264-BC264)*$X264*($G264-$G263)</f>
        <v>1.0052730187543295</v>
      </c>
      <c r="BE264" s="94">
        <f t="shared" ref="BE264:BE289" si="139">0.000000056703*$H$247*(($F264+273)^4-(BC264+273)^4)*($B$237/1000*PI())*($G264-$G263)</f>
        <v>5.6139274207321612E-3</v>
      </c>
      <c r="BF264" s="249">
        <f t="shared" ref="BF264:BF289" si="140">$AO264*($G264-$G263)*(BC264-$BB264)</f>
        <v>0.98116644557982047</v>
      </c>
      <c r="BG264" s="247">
        <f t="shared" ref="BG264:BG289" si="141">BC264+1</f>
        <v>163.66734085804171</v>
      </c>
      <c r="BH264" s="248">
        <f t="shared" ref="BH264:BH289" si="142">($F264-BG264)*$X264*($G264-$G263)</f>
        <v>0.99697811093450706</v>
      </c>
      <c r="BI264" s="94">
        <f t="shared" ref="BI264:BI289" si="143">0.000000056703*$H$247*(($F264+273)^4-(BG264+273)^4)*($B$237/1000*PI())*($G264-$G263)</f>
        <v>5.5829396019061346E-3</v>
      </c>
      <c r="BJ264" s="249">
        <f t="shared" ref="BJ264:BJ289" si="144">$AO264*($G264-$G263)*(BG264-$BB264)</f>
        <v>1.0736915002210112</v>
      </c>
      <c r="BK264" s="247">
        <f t="shared" ref="BK264:BK288" si="145">BC264+(BD264+BE264-BF264)/(BD264+BE264-BF264-(BH264+BI264-BJ264))</f>
        <v>162.96203813667691</v>
      </c>
      <c r="BL264" s="248">
        <f t="shared" ref="BL264:BL289" si="146">($F264-BK264)*$X264*($G264-$G263)</f>
        <v>1.0028285319932979</v>
      </c>
      <c r="BM264" s="136">
        <f t="shared" ref="BM264:BM289" si="147">0.000000056703*$H$247*(($F264+273)^4-(BK264+273)^4)*($B$237/1000*PI())*($G264-$G263)</f>
        <v>5.6048175382401181E-3</v>
      </c>
      <c r="BN264" s="250">
        <f t="shared" ref="BN264:BN289" si="148">$AO264*($G264-$G263)*(BK264-$BB264)</f>
        <v>1.0084333273881523</v>
      </c>
      <c r="BO264" s="236">
        <f t="shared" ref="BO264:BO289" si="149">E264+(BN264+BM264+BL264)/2/1000/$B$251</f>
        <v>2757.6836777545232</v>
      </c>
      <c r="BP264" s="251">
        <f t="shared" ref="BP264:BP289" si="150">IF(BO264&lt;(2677.2*D264^0.0161),100.55*D264^0.2536,(BO264+9.0877*D264-2486.6)/(0.0199*D264+1.9776))</f>
        <v>152.38658598744567</v>
      </c>
      <c r="CB264" s="252"/>
      <c r="CC264" s="231"/>
      <c r="CD264" s="253"/>
      <c r="CE264" s="231"/>
      <c r="CF264" s="231"/>
      <c r="CG264" s="28"/>
      <c r="CH264" s="231"/>
      <c r="CI264" s="28"/>
      <c r="CJ264" s="110"/>
      <c r="CK264" s="110"/>
      <c r="CL264" s="231"/>
      <c r="CM264" s="231"/>
      <c r="CN264" s="110"/>
      <c r="CO264" s="28"/>
      <c r="CP264" s="28"/>
      <c r="CQ264" s="28"/>
      <c r="CR264" s="28"/>
      <c r="CS264" s="28"/>
      <c r="CT264" s="28"/>
      <c r="CU264" s="28"/>
      <c r="CV264" s="28"/>
    </row>
    <row r="265" spans="1:100" ht="12" customHeight="1" x14ac:dyDescent="0.2">
      <c r="A265" s="200" t="s">
        <v>442</v>
      </c>
      <c r="B265" s="118">
        <v>0</v>
      </c>
      <c r="C265" s="236">
        <f t="shared" ref="C265:C289" si="151">BP264</f>
        <v>152.38658598744567</v>
      </c>
      <c r="D265" s="237">
        <f t="shared" ref="D265:D289" si="152">D264-AH264/100000</f>
        <v>4.9995253591071913</v>
      </c>
      <c r="E265" s="238">
        <f t="shared" ref="E265:E289" si="153">BO264</f>
        <v>2757.6836777545232</v>
      </c>
      <c r="F265" s="239">
        <f>G210-AB210/2</f>
        <v>286.71475854057582</v>
      </c>
      <c r="G265" s="154">
        <f t="shared" si="92"/>
        <v>2.4258064516129038E-2</v>
      </c>
      <c r="H265" s="149">
        <f t="shared" si="93"/>
        <v>0.18159817247544943</v>
      </c>
      <c r="I265" s="240">
        <f t="shared" si="94"/>
        <v>286.71475854057582</v>
      </c>
      <c r="J265" s="154">
        <f t="shared" si="95"/>
        <v>0.6199363384915173</v>
      </c>
      <c r="K265" s="241">
        <f t="shared" si="96"/>
        <v>286.71475854057582</v>
      </c>
      <c r="L265" s="150">
        <f t="shared" si="97"/>
        <v>0.62220230295780976</v>
      </c>
      <c r="M265" s="150">
        <f t="shared" si="98"/>
        <v>3.4430959020912542</v>
      </c>
      <c r="N265" s="152">
        <f t="shared" si="99"/>
        <v>2.8741584180221105E-5</v>
      </c>
      <c r="O265" s="152">
        <f t="shared" ref="O265:O289" si="154">J265*M265*H$246/1000/N265</f>
        <v>563.43014794290957</v>
      </c>
      <c r="P265" s="153">
        <f t="shared" si="100"/>
        <v>0.11358994585870989</v>
      </c>
      <c r="Q265" s="154">
        <f t="shared" si="101"/>
        <v>0.66730873668399138</v>
      </c>
      <c r="R265" s="155">
        <f t="shared" si="102"/>
        <v>0.68144616464667063</v>
      </c>
      <c r="S265" s="154">
        <f t="shared" si="103"/>
        <v>4.4556521245368089E-2</v>
      </c>
      <c r="T265" s="148">
        <f t="shared" si="104"/>
        <v>0.29648740825734626</v>
      </c>
      <c r="U265" s="148">
        <f t="shared" si="105"/>
        <v>0.19905705171978894</v>
      </c>
      <c r="V265" s="154">
        <f t="shared" si="106"/>
        <v>5.8560000000000008</v>
      </c>
      <c r="W265" s="154">
        <f t="shared" si="107"/>
        <v>34.392027072771512</v>
      </c>
      <c r="X265" s="154">
        <f t="shared" si="108"/>
        <v>0.68609044642113959</v>
      </c>
      <c r="Y265" s="112"/>
      <c r="Z265" s="242">
        <f t="shared" si="109"/>
        <v>0.11659727501815821</v>
      </c>
      <c r="AA265" s="235">
        <f t="shared" si="110"/>
        <v>2.6613992091985628</v>
      </c>
      <c r="AB265" s="236">
        <f t="shared" si="111"/>
        <v>152.38658598744567</v>
      </c>
      <c r="AC265" s="243">
        <f t="shared" si="112"/>
        <v>0.28109031016404756</v>
      </c>
      <c r="AD265" s="243">
        <f t="shared" si="113"/>
        <v>17.508484478566082</v>
      </c>
      <c r="AE265" s="244">
        <f t="shared" si="114"/>
        <v>1.4143872346344688E-5</v>
      </c>
      <c r="AF265" s="244">
        <f t="shared" si="115"/>
        <v>14895.118749024641</v>
      </c>
      <c r="AG265" s="245">
        <f t="shared" si="116"/>
        <v>4.3462626580252656E-2</v>
      </c>
      <c r="AH265" s="244">
        <f t="shared" si="117"/>
        <v>47.562594777806765</v>
      </c>
      <c r="AI265" s="246">
        <f t="shared" si="118"/>
        <v>1.0609564803581655</v>
      </c>
      <c r="AJ265" s="235">
        <f t="shared" si="119"/>
        <v>3.1496233305515778E-2</v>
      </c>
      <c r="AK265" s="235">
        <f t="shared" si="120"/>
        <v>1.3085164323031109</v>
      </c>
      <c r="AL265" s="235">
        <f t="shared" si="121"/>
        <v>1.1158464416992655</v>
      </c>
      <c r="AM265" s="235">
        <f t="shared" si="122"/>
        <v>57.285732769031284</v>
      </c>
      <c r="AN265" s="235">
        <f t="shared" si="123"/>
        <v>399.0721057176944</v>
      </c>
      <c r="AO265" s="235">
        <f t="shared" si="124"/>
        <v>5.6683278863951267</v>
      </c>
      <c r="AP265" s="247">
        <f t="shared" ref="AP265:AP289" si="155">BK264</f>
        <v>162.96203813667691</v>
      </c>
      <c r="AQ265" s="248">
        <f t="shared" si="125"/>
        <v>1.0298222662771226</v>
      </c>
      <c r="AR265" s="94">
        <f t="shared" si="126"/>
        <v>5.790400849107832E-3</v>
      </c>
      <c r="AS265" s="249">
        <f t="shared" si="127"/>
        <v>0.72707641947098378</v>
      </c>
      <c r="AT265" s="247">
        <f t="shared" si="128"/>
        <v>163.96203813667691</v>
      </c>
      <c r="AU265" s="248">
        <f t="shared" si="129"/>
        <v>1.0215006531205306</v>
      </c>
      <c r="AV265" s="94">
        <f t="shared" si="130"/>
        <v>5.7593501769559749E-3</v>
      </c>
      <c r="AW265" s="249">
        <f t="shared" si="131"/>
        <v>0.79582775125435701</v>
      </c>
      <c r="AX265" s="247">
        <f t="shared" si="132"/>
        <v>166.96359791585337</v>
      </c>
      <c r="AY265" s="249">
        <f t="shared" si="133"/>
        <v>1.0021889835001461</v>
      </c>
      <c r="AZ265" s="238">
        <f t="shared" si="134"/>
        <v>2759.02333508934</v>
      </c>
      <c r="BA265" s="250">
        <f t="shared" si="135"/>
        <v>153.03017048740836</v>
      </c>
      <c r="BB265" s="235">
        <f t="shared" si="136"/>
        <v>152.54658941416537</v>
      </c>
      <c r="BC265" s="247">
        <f t="shared" si="137"/>
        <v>166.96359791585337</v>
      </c>
      <c r="BD265" s="248">
        <f t="shared" si="138"/>
        <v>0.99652283377183881</v>
      </c>
      <c r="BE265" s="94">
        <f t="shared" si="139"/>
        <v>5.664861143983786E-3</v>
      </c>
      <c r="BF265" s="249">
        <f t="shared" si="140"/>
        <v>0.99118853482326352</v>
      </c>
      <c r="BG265" s="247">
        <f t="shared" si="141"/>
        <v>167.96359791585337</v>
      </c>
      <c r="BH265" s="248">
        <f t="shared" si="142"/>
        <v>0.98820122061524707</v>
      </c>
      <c r="BI265" s="94">
        <f t="shared" si="143"/>
        <v>5.632948584862474E-3</v>
      </c>
      <c r="BJ265" s="249">
        <f t="shared" si="144"/>
        <v>1.0599398666066366</v>
      </c>
      <c r="BK265" s="247">
        <f t="shared" si="145"/>
        <v>167.10624988940367</v>
      </c>
      <c r="BL265" s="248">
        <f t="shared" si="146"/>
        <v>0.99533573923192886</v>
      </c>
      <c r="BM265" s="136">
        <f t="shared" si="147"/>
        <v>5.6603220388589202E-3</v>
      </c>
      <c r="BN265" s="250">
        <f t="shared" si="148"/>
        <v>1.0009960479863733</v>
      </c>
      <c r="BO265" s="236">
        <f t="shared" si="149"/>
        <v>2759.0217404640357</v>
      </c>
      <c r="BP265" s="251">
        <f t="shared" si="150"/>
        <v>153.02940276676145</v>
      </c>
      <c r="BY265" s="102"/>
      <c r="BZ265" s="120"/>
      <c r="CA265" s="120"/>
      <c r="CB265" s="254"/>
      <c r="CC265" s="254"/>
      <c r="CD265" s="253"/>
      <c r="CE265" s="255"/>
      <c r="CF265" s="255"/>
      <c r="CG265" s="126"/>
      <c r="CH265" s="209"/>
      <c r="CI265" s="256"/>
      <c r="CJ265" s="208"/>
      <c r="CK265" s="208"/>
      <c r="CL265" s="254"/>
      <c r="CM265" s="209"/>
      <c r="CN265" s="254"/>
      <c r="CO265" s="28"/>
      <c r="CP265" s="28"/>
      <c r="CQ265" s="28"/>
      <c r="CR265" s="28"/>
      <c r="CS265" s="28"/>
      <c r="CT265" s="28"/>
      <c r="CU265" s="28"/>
      <c r="CV265" s="28"/>
    </row>
    <row r="266" spans="1:100" ht="12" customHeight="1" x14ac:dyDescent="0.2">
      <c r="A266" s="200" t="s">
        <v>442</v>
      </c>
      <c r="B266" s="118">
        <v>0</v>
      </c>
      <c r="C266" s="236">
        <f t="shared" si="151"/>
        <v>153.02940276676145</v>
      </c>
      <c r="D266" s="237">
        <f t="shared" si="152"/>
        <v>4.9990497331594135</v>
      </c>
      <c r="E266" s="238">
        <f t="shared" si="153"/>
        <v>2759.0217404640357</v>
      </c>
      <c r="F266" s="239">
        <f>G209-AB209/2</f>
        <v>292.58013274992913</v>
      </c>
      <c r="G266" s="154">
        <f t="shared" si="92"/>
        <v>3.6387096774193557E-2</v>
      </c>
      <c r="H266" s="149">
        <f t="shared" si="93"/>
        <v>0.18282301231052614</v>
      </c>
      <c r="I266" s="240">
        <f t="shared" si="94"/>
        <v>292.58013274992913</v>
      </c>
      <c r="J266" s="154">
        <f t="shared" si="95"/>
        <v>0.6122138109754871</v>
      </c>
      <c r="K266" s="241">
        <f t="shared" si="96"/>
        <v>292.58013274992913</v>
      </c>
      <c r="L266" s="150">
        <f t="shared" si="97"/>
        <v>0.6300508263314869</v>
      </c>
      <c r="M266" s="150">
        <f t="shared" si="98"/>
        <v>3.4865274653254517</v>
      </c>
      <c r="N266" s="152">
        <f t="shared" si="99"/>
        <v>2.8935439860304592E-5</v>
      </c>
      <c r="O266" s="152">
        <f t="shared" si="154"/>
        <v>559.65539507803771</v>
      </c>
      <c r="P266" s="153">
        <f t="shared" si="100"/>
        <v>0.1143560851246255</v>
      </c>
      <c r="Q266" s="154">
        <f t="shared" si="101"/>
        <v>0.68028386244981731</v>
      </c>
      <c r="R266" s="155">
        <f t="shared" si="102"/>
        <v>0.68147447462631816</v>
      </c>
      <c r="S266" s="154">
        <f t="shared" si="103"/>
        <v>4.4850194666656198E-2</v>
      </c>
      <c r="T266" s="148">
        <f t="shared" si="104"/>
        <v>0.30072351071550096</v>
      </c>
      <c r="U266" s="148">
        <f t="shared" si="105"/>
        <v>0.20196401671535644</v>
      </c>
      <c r="V266" s="154">
        <f t="shared" si="106"/>
        <v>5.8560000000000008</v>
      </c>
      <c r="W266" s="154">
        <f t="shared" si="107"/>
        <v>34.61870599592789</v>
      </c>
      <c r="X266" s="154">
        <f t="shared" si="108"/>
        <v>0.69061248995330904</v>
      </c>
      <c r="Y266" s="112"/>
      <c r="Z266" s="242">
        <f t="shared" si="109"/>
        <v>0.1166153272075678</v>
      </c>
      <c r="AA266" s="235">
        <f t="shared" si="110"/>
        <v>2.6563601903225385</v>
      </c>
      <c r="AB266" s="236">
        <f t="shared" si="111"/>
        <v>153.02940276676145</v>
      </c>
      <c r="AC266" s="243">
        <f t="shared" si="112"/>
        <v>0.28162352828105758</v>
      </c>
      <c r="AD266" s="243">
        <f t="shared" si="113"/>
        <v>17.54169743820141</v>
      </c>
      <c r="AE266" s="244">
        <f t="shared" si="114"/>
        <v>1.4170530433414826E-5</v>
      </c>
      <c r="AF266" s="244">
        <f t="shared" si="115"/>
        <v>14867.09754160426</v>
      </c>
      <c r="AG266" s="245">
        <f t="shared" si="116"/>
        <v>4.3469355687490732E-2</v>
      </c>
      <c r="AH266" s="244">
        <f t="shared" si="117"/>
        <v>47.660197148362464</v>
      </c>
      <c r="AI266" s="246">
        <f t="shared" si="118"/>
        <v>1.0601715550183595</v>
      </c>
      <c r="AJ266" s="235">
        <f t="shared" si="119"/>
        <v>3.1542517663581189E-2</v>
      </c>
      <c r="AK266" s="235">
        <f t="shared" si="120"/>
        <v>1.232281391573067</v>
      </c>
      <c r="AL266" s="235">
        <f t="shared" si="121"/>
        <v>1.0798113101129789</v>
      </c>
      <c r="AM266" s="235">
        <f t="shared" si="122"/>
        <v>55.335918083301891</v>
      </c>
      <c r="AN266" s="235">
        <f t="shared" si="123"/>
        <v>386.0555103895054</v>
      </c>
      <c r="AO266" s="235">
        <f t="shared" si="124"/>
        <v>5.4834431770216083</v>
      </c>
      <c r="AP266" s="247">
        <f t="shared" si="155"/>
        <v>167.10624988940367</v>
      </c>
      <c r="AQ266" s="248">
        <f t="shared" si="125"/>
        <v>1.0510271074378361</v>
      </c>
      <c r="AR266" s="94">
        <f t="shared" si="126"/>
        <v>6.0504863896092883E-3</v>
      </c>
      <c r="AS266" s="249">
        <f t="shared" si="127"/>
        <v>0.9362350429691747</v>
      </c>
      <c r="AT266" s="247">
        <f t="shared" si="128"/>
        <v>168.10624988940367</v>
      </c>
      <c r="AU266" s="248">
        <f t="shared" si="129"/>
        <v>1.0426506462693701</v>
      </c>
      <c r="AV266" s="94">
        <f t="shared" si="130"/>
        <v>6.0185428141212643E-3</v>
      </c>
      <c r="AW266" s="249">
        <f t="shared" si="131"/>
        <v>1.0027439021485336</v>
      </c>
      <c r="AX266" s="247">
        <f t="shared" si="132"/>
        <v>168.71926329285589</v>
      </c>
      <c r="AY266" s="249">
        <f t="shared" si="133"/>
        <v>1.0435147242737963</v>
      </c>
      <c r="AZ266" s="238">
        <f t="shared" si="134"/>
        <v>2760.4166392080633</v>
      </c>
      <c r="BA266" s="250">
        <f t="shared" si="135"/>
        <v>153.69958594912768</v>
      </c>
      <c r="BB266" s="235">
        <f t="shared" si="136"/>
        <v>153.12308768164652</v>
      </c>
      <c r="BC266" s="247">
        <f t="shared" si="137"/>
        <v>168.71926329285589</v>
      </c>
      <c r="BD266" s="248">
        <f t="shared" si="138"/>
        <v>1.0375157632996035</v>
      </c>
      <c r="BE266" s="94">
        <f t="shared" si="139"/>
        <v>5.9988532625035729E-3</v>
      </c>
      <c r="BF266" s="249">
        <f t="shared" si="140"/>
        <v>1.0372838474624748</v>
      </c>
      <c r="BG266" s="247">
        <f t="shared" si="141"/>
        <v>169.71926329285589</v>
      </c>
      <c r="BH266" s="248">
        <f t="shared" si="142"/>
        <v>1.0291393021311375</v>
      </c>
      <c r="BI266" s="94">
        <f t="shared" si="143"/>
        <v>5.9665575751449698E-3</v>
      </c>
      <c r="BJ266" s="249">
        <f t="shared" si="144"/>
        <v>1.1037927066418336</v>
      </c>
      <c r="BK266" s="247">
        <f t="shared" si="145"/>
        <v>168.80243157061724</v>
      </c>
      <c r="BL266" s="248">
        <f t="shared" si="146"/>
        <v>1.0368191074504873</v>
      </c>
      <c r="BM266" s="136">
        <f t="shared" si="147"/>
        <v>5.9961756336077351E-3</v>
      </c>
      <c r="BN266" s="250">
        <f t="shared" si="148"/>
        <v>1.0428152747362949</v>
      </c>
      <c r="BO266" s="236">
        <f t="shared" si="149"/>
        <v>2760.4157042375864</v>
      </c>
      <c r="BP266" s="251">
        <f t="shared" si="150"/>
        <v>153.69913581240382</v>
      </c>
      <c r="BY266" s="254"/>
      <c r="BZ266" s="254"/>
      <c r="CA266" s="253"/>
      <c r="CB266" s="256"/>
      <c r="CC266" s="256"/>
      <c r="CD266" s="257"/>
      <c r="CE266" s="255"/>
      <c r="CF266" s="255"/>
      <c r="CG266" s="126"/>
      <c r="CH266" s="209"/>
      <c r="CI266" s="256"/>
      <c r="CJ266" s="208"/>
      <c r="CK266" s="208"/>
      <c r="CL266" s="254"/>
      <c r="CM266" s="209"/>
      <c r="CN266" s="254"/>
      <c r="CO266" s="28"/>
      <c r="CP266" s="28"/>
      <c r="CQ266" s="28"/>
      <c r="CR266" s="28"/>
      <c r="CS266" s="28"/>
      <c r="CT266" s="28"/>
      <c r="CU266" s="28"/>
      <c r="CV266" s="28"/>
    </row>
    <row r="267" spans="1:100" ht="12" customHeight="1" x14ac:dyDescent="0.2">
      <c r="A267" s="200" t="s">
        <v>442</v>
      </c>
      <c r="B267" s="118">
        <v>0</v>
      </c>
      <c r="C267" s="236">
        <f t="shared" si="151"/>
        <v>153.69913581240382</v>
      </c>
      <c r="D267" s="237">
        <f t="shared" si="152"/>
        <v>4.9985731311879302</v>
      </c>
      <c r="E267" s="238">
        <f t="shared" si="153"/>
        <v>2760.4157042375864</v>
      </c>
      <c r="F267" s="239">
        <f>G208-AB208/2</f>
        <v>298.76323811896788</v>
      </c>
      <c r="G267" s="154">
        <f t="shared" si="92"/>
        <v>4.8516129032258076E-2</v>
      </c>
      <c r="H267" s="149">
        <f t="shared" si="93"/>
        <v>0.18411005362632707</v>
      </c>
      <c r="I267" s="240">
        <f t="shared" si="94"/>
        <v>298.76323811896788</v>
      </c>
      <c r="J267" s="154">
        <f t="shared" si="95"/>
        <v>0.60433975382378891</v>
      </c>
      <c r="K267" s="241">
        <f t="shared" si="96"/>
        <v>298.76323811896788</v>
      </c>
      <c r="L267" s="150">
        <f t="shared" si="97"/>
        <v>0.63825987791814676</v>
      </c>
      <c r="M267" s="150">
        <f t="shared" si="98"/>
        <v>3.5319540922339683</v>
      </c>
      <c r="N267" s="152">
        <f t="shared" si="99"/>
        <v>2.9139140182930443E-5</v>
      </c>
      <c r="O267" s="152">
        <f t="shared" si="154"/>
        <v>555.74306328578132</v>
      </c>
      <c r="P267" s="153">
        <f t="shared" si="100"/>
        <v>0.11516113151571467</v>
      </c>
      <c r="Q267" s="154">
        <f t="shared" si="101"/>
        <v>0.69399888431863788</v>
      </c>
      <c r="R267" s="155">
        <f t="shared" si="102"/>
        <v>0.68151500974081292</v>
      </c>
      <c r="S267" s="154">
        <f t="shared" si="103"/>
        <v>4.5159776569378599E-2</v>
      </c>
      <c r="T267" s="148">
        <f t="shared" si="104"/>
        <v>0.30521257862459839</v>
      </c>
      <c r="U267" s="148">
        <f t="shared" si="105"/>
        <v>0.20504862357162532</v>
      </c>
      <c r="V267" s="154">
        <f t="shared" si="106"/>
        <v>5.8560000000000008</v>
      </c>
      <c r="W267" s="154">
        <f t="shared" si="107"/>
        <v>34.857664264708262</v>
      </c>
      <c r="X267" s="154">
        <f t="shared" si="108"/>
        <v>0.695379495543199</v>
      </c>
      <c r="Y267" s="112"/>
      <c r="Z267" s="242">
        <f t="shared" si="109"/>
        <v>0.11663412808017083</v>
      </c>
      <c r="AA267" s="235">
        <f t="shared" si="110"/>
        <v>2.6511436819888052</v>
      </c>
      <c r="AB267" s="236">
        <f t="shared" si="111"/>
        <v>153.69913581240382</v>
      </c>
      <c r="AC267" s="243">
        <f t="shared" si="112"/>
        <v>0.28217766327277233</v>
      </c>
      <c r="AD267" s="243">
        <f t="shared" si="113"/>
        <v>17.576213263011613</v>
      </c>
      <c r="AE267" s="244">
        <f t="shared" si="114"/>
        <v>1.4198304984578559E-5</v>
      </c>
      <c r="AF267" s="244">
        <f t="shared" si="115"/>
        <v>14838.01470659163</v>
      </c>
      <c r="AG267" s="245">
        <f t="shared" si="116"/>
        <v>4.3476363872760937E-2</v>
      </c>
      <c r="AH267" s="244">
        <f t="shared" si="117"/>
        <v>47.76167443120098</v>
      </c>
      <c r="AI267" s="246">
        <f t="shared" si="118"/>
        <v>1.0593567447041718</v>
      </c>
      <c r="AJ267" s="235">
        <f t="shared" si="119"/>
        <v>3.1590831551510046E-2</v>
      </c>
      <c r="AK267" s="235">
        <f t="shared" si="120"/>
        <v>1.18991414102754</v>
      </c>
      <c r="AL267" s="235">
        <f t="shared" si="121"/>
        <v>1.0628123893909591</v>
      </c>
      <c r="AM267" s="235">
        <f t="shared" si="122"/>
        <v>54.362819935400985</v>
      </c>
      <c r="AN267" s="235">
        <f t="shared" si="123"/>
        <v>379.84753765467684</v>
      </c>
      <c r="AO267" s="235">
        <f t="shared" si="124"/>
        <v>5.3952665681666101</v>
      </c>
      <c r="AP267" s="247">
        <f t="shared" si="155"/>
        <v>168.80243157061724</v>
      </c>
      <c r="AQ267" s="248">
        <f t="shared" si="125"/>
        <v>1.0961258747367819</v>
      </c>
      <c r="AR267" s="94">
        <f t="shared" si="126"/>
        <v>6.4208297170482136E-3</v>
      </c>
      <c r="AS267" s="249">
        <f t="shared" si="127"/>
        <v>0.9883500422324667</v>
      </c>
      <c r="AT267" s="247">
        <f t="shared" si="128"/>
        <v>169.80243157061724</v>
      </c>
      <c r="AU267" s="248">
        <f t="shared" si="129"/>
        <v>1.087691594403742</v>
      </c>
      <c r="AV267" s="94">
        <f t="shared" si="130"/>
        <v>6.388515804706122E-3</v>
      </c>
      <c r="AW267" s="249">
        <f t="shared" si="131"/>
        <v>1.0537894044786165</v>
      </c>
      <c r="AX267" s="247">
        <f t="shared" si="132"/>
        <v>170.34759339034753</v>
      </c>
      <c r="AY267" s="249">
        <f t="shared" si="133"/>
        <v>1.0894644462827168</v>
      </c>
      <c r="AZ267" s="238">
        <f t="shared" si="134"/>
        <v>2761.8720254110513</v>
      </c>
      <c r="BA267" s="250">
        <f t="shared" si="135"/>
        <v>154.39889392132221</v>
      </c>
      <c r="BB267" s="235">
        <f t="shared" si="136"/>
        <v>153.76099080148435</v>
      </c>
      <c r="BC267" s="247">
        <f t="shared" si="137"/>
        <v>170.34759339034753</v>
      </c>
      <c r="BD267" s="248">
        <f t="shared" si="138"/>
        <v>1.0830935467892664</v>
      </c>
      <c r="BE267" s="94">
        <f t="shared" si="139"/>
        <v>6.3708070354633007E-3</v>
      </c>
      <c r="BF267" s="249">
        <f t="shared" si="140"/>
        <v>1.0854166952455444</v>
      </c>
      <c r="BG267" s="247">
        <f t="shared" si="141"/>
        <v>171.34759339034753</v>
      </c>
      <c r="BH267" s="248">
        <f t="shared" si="142"/>
        <v>1.0746592664562262</v>
      </c>
      <c r="BI267" s="94">
        <f t="shared" si="143"/>
        <v>6.3381532777405606E-3</v>
      </c>
      <c r="BJ267" s="249">
        <f t="shared" si="144"/>
        <v>1.1508560574916942</v>
      </c>
      <c r="BK267" s="247">
        <f t="shared" si="145"/>
        <v>170.40236082938591</v>
      </c>
      <c r="BL267" s="248">
        <f t="shared" si="146"/>
        <v>1.0826316228552939</v>
      </c>
      <c r="BM267" s="136">
        <f t="shared" si="147"/>
        <v>6.3690243817870924E-3</v>
      </c>
      <c r="BN267" s="250">
        <f t="shared" si="148"/>
        <v>1.0890006415280711</v>
      </c>
      <c r="BO267" s="236">
        <f t="shared" si="149"/>
        <v>2761.8714054325565</v>
      </c>
      <c r="BP267" s="251">
        <f t="shared" si="150"/>
        <v>154.39859543450393</v>
      </c>
      <c r="BY267" s="254"/>
      <c r="BZ267" s="254"/>
      <c r="CA267" s="253"/>
      <c r="CB267" s="256"/>
      <c r="CC267" s="256"/>
      <c r="CD267" s="257"/>
      <c r="CE267" s="255"/>
      <c r="CF267" s="255"/>
      <c r="CG267" s="126"/>
      <c r="CH267" s="209"/>
      <c r="CI267" s="256"/>
      <c r="CJ267" s="208"/>
      <c r="CK267" s="208"/>
      <c r="CL267" s="254"/>
      <c r="CM267" s="209"/>
      <c r="CN267" s="254"/>
      <c r="CO267" s="28"/>
      <c r="CP267" s="28"/>
      <c r="CQ267" s="28"/>
      <c r="CR267" s="28"/>
      <c r="CS267" s="28"/>
      <c r="CT267" s="28"/>
      <c r="CU267" s="28"/>
      <c r="CV267" s="28"/>
    </row>
    <row r="268" spans="1:100" ht="12" customHeight="1" x14ac:dyDescent="0.2">
      <c r="A268" s="200" t="s">
        <v>442</v>
      </c>
      <c r="B268" s="118">
        <v>0</v>
      </c>
      <c r="C268" s="236">
        <f t="shared" si="151"/>
        <v>154.39859543450393</v>
      </c>
      <c r="D268" s="237">
        <f t="shared" si="152"/>
        <v>4.9980955144436185</v>
      </c>
      <c r="E268" s="238">
        <f t="shared" si="153"/>
        <v>2761.8714054325565</v>
      </c>
      <c r="F268" s="239">
        <f>G207-AB207/2</f>
        <v>305.28560833269933</v>
      </c>
      <c r="G268" s="154">
        <f t="shared" si="92"/>
        <v>6.0645161290322595E-2</v>
      </c>
      <c r="H268" s="149">
        <f t="shared" si="93"/>
        <v>0.18546309925890384</v>
      </c>
      <c r="I268" s="240">
        <f t="shared" si="94"/>
        <v>305.28560833269933</v>
      </c>
      <c r="J268" s="154">
        <f t="shared" si="95"/>
        <v>0.59631461685405251</v>
      </c>
      <c r="K268" s="241">
        <f t="shared" si="96"/>
        <v>305.28560833269933</v>
      </c>
      <c r="L268" s="150">
        <f t="shared" si="97"/>
        <v>0.64684950962900911</v>
      </c>
      <c r="M268" s="150">
        <f t="shared" si="98"/>
        <v>3.5794867445619181</v>
      </c>
      <c r="N268" s="152">
        <f t="shared" si="99"/>
        <v>2.9353287023827992E-5</v>
      </c>
      <c r="O268" s="152">
        <f t="shared" si="154"/>
        <v>551.68864099035773</v>
      </c>
      <c r="P268" s="153">
        <f t="shared" si="100"/>
        <v>0.11600746371197912</v>
      </c>
      <c r="Q268" s="154">
        <f t="shared" si="101"/>
        <v>0.70850756083968425</v>
      </c>
      <c r="R268" s="155">
        <f t="shared" si="102"/>
        <v>0.68156947685097424</v>
      </c>
      <c r="S268" s="154">
        <f t="shared" si="103"/>
        <v>4.5486345123609918E-2</v>
      </c>
      <c r="T268" s="148">
        <f t="shared" si="104"/>
        <v>0.30998229076997807</v>
      </c>
      <c r="U268" s="148">
        <f t="shared" si="105"/>
        <v>0.20833078833541846</v>
      </c>
      <c r="V268" s="154">
        <f t="shared" si="106"/>
        <v>5.8560000000000008</v>
      </c>
      <c r="W268" s="154">
        <f t="shared" si="107"/>
        <v>35.109734090725183</v>
      </c>
      <c r="X268" s="154">
        <f t="shared" si="108"/>
        <v>0.70040806507459974</v>
      </c>
      <c r="Y268" s="112"/>
      <c r="Z268" s="242">
        <f t="shared" si="109"/>
        <v>0.11665375560715967</v>
      </c>
      <c r="AA268" s="235">
        <f t="shared" si="110"/>
        <v>2.6457315940705617</v>
      </c>
      <c r="AB268" s="236">
        <f t="shared" si="111"/>
        <v>154.39859543450393</v>
      </c>
      <c r="AC268" s="243">
        <f t="shared" si="112"/>
        <v>0.28275488370042995</v>
      </c>
      <c r="AD268" s="243">
        <f t="shared" si="113"/>
        <v>17.612167027808617</v>
      </c>
      <c r="AE268" s="244">
        <f t="shared" si="114"/>
        <v>1.4227312575807209E-5</v>
      </c>
      <c r="AF268" s="244">
        <f t="shared" si="115"/>
        <v>14807.76197523705</v>
      </c>
      <c r="AG268" s="245">
        <f t="shared" si="116"/>
        <v>4.3483680200488817E-2</v>
      </c>
      <c r="AH268" s="244">
        <f t="shared" si="117"/>
        <v>47.867429253507844</v>
      </c>
      <c r="AI268" s="246">
        <f t="shared" si="118"/>
        <v>1.0585089961510548</v>
      </c>
      <c r="AJ268" s="235">
        <f t="shared" si="119"/>
        <v>3.1641389119411972E-2</v>
      </c>
      <c r="AK268" s="235">
        <f t="shared" si="120"/>
        <v>1.1624502164914015</v>
      </c>
      <c r="AL268" s="235">
        <f t="shared" si="121"/>
        <v>1.0525945183468475</v>
      </c>
      <c r="AM268" s="235">
        <f t="shared" si="122"/>
        <v>53.735129668374782</v>
      </c>
      <c r="AN268" s="235">
        <f t="shared" si="123"/>
        <v>376.06258232750281</v>
      </c>
      <c r="AO268" s="235">
        <f t="shared" si="124"/>
        <v>5.3415059381391208</v>
      </c>
      <c r="AP268" s="247">
        <f t="shared" si="155"/>
        <v>170.40236082938591</v>
      </c>
      <c r="AQ268" s="248">
        <f t="shared" si="125"/>
        <v>1.1458698778204859</v>
      </c>
      <c r="AR268" s="94">
        <f t="shared" si="126"/>
        <v>6.8321611859927271E-3</v>
      </c>
      <c r="AS268" s="249">
        <f t="shared" si="127"/>
        <v>1.036840715044989</v>
      </c>
      <c r="AT268" s="247">
        <f t="shared" si="128"/>
        <v>171.40236082938591</v>
      </c>
      <c r="AU268" s="248">
        <f t="shared" si="129"/>
        <v>1.1373746058053875</v>
      </c>
      <c r="AV268" s="94">
        <f t="shared" si="130"/>
        <v>6.7994953391077723E-3</v>
      </c>
      <c r="AW268" s="249">
        <f t="shared" si="131"/>
        <v>1.1016280128753215</v>
      </c>
      <c r="AX268" s="247">
        <f t="shared" si="132"/>
        <v>171.9826779744842</v>
      </c>
      <c r="AY268" s="249">
        <f t="shared" si="133"/>
        <v>1.1392251925908528</v>
      </c>
      <c r="AZ268" s="238">
        <f t="shared" si="134"/>
        <v>2763.3942433507423</v>
      </c>
      <c r="BA268" s="250">
        <f t="shared" si="135"/>
        <v>155.13038143777888</v>
      </c>
      <c r="BB268" s="235">
        <f t="shared" si="136"/>
        <v>154.4456861196316</v>
      </c>
      <c r="BC268" s="247">
        <f t="shared" si="137"/>
        <v>171.9826779744842</v>
      </c>
      <c r="BD268" s="248">
        <f t="shared" si="138"/>
        <v>1.1324446538027524</v>
      </c>
      <c r="BE268" s="94">
        <f t="shared" si="139"/>
        <v>6.7804373943010383E-3</v>
      </c>
      <c r="BF268" s="249">
        <f t="shared" si="140"/>
        <v>1.136174314348452</v>
      </c>
      <c r="BG268" s="247">
        <f t="shared" si="141"/>
        <v>172.9826779744842</v>
      </c>
      <c r="BH268" s="248">
        <f t="shared" si="142"/>
        <v>1.123949381787654</v>
      </c>
      <c r="BI268" s="94">
        <f t="shared" si="143"/>
        <v>6.7474214275117907E-3</v>
      </c>
      <c r="BJ268" s="249">
        <f t="shared" si="144"/>
        <v>1.2009616121787845</v>
      </c>
      <c r="BK268" s="247">
        <f t="shared" si="145"/>
        <v>172.02428954745062</v>
      </c>
      <c r="BL268" s="248">
        <f t="shared" si="146"/>
        <v>1.1320911521714263</v>
      </c>
      <c r="BM268" s="136">
        <f t="shared" si="147"/>
        <v>6.7790679783778212E-3</v>
      </c>
      <c r="BN268" s="250">
        <f t="shared" si="148"/>
        <v>1.1388702157194159</v>
      </c>
      <c r="BO268" s="236">
        <f t="shared" si="149"/>
        <v>2763.3937688450255</v>
      </c>
      <c r="BP268" s="251">
        <f t="shared" si="150"/>
        <v>155.13015298735527</v>
      </c>
      <c r="BY268" s="254"/>
      <c r="BZ268" s="254"/>
      <c r="CA268" s="253"/>
      <c r="CB268" s="256"/>
      <c r="CC268" s="256"/>
      <c r="CD268" s="257"/>
      <c r="CE268" s="255"/>
      <c r="CF268" s="255"/>
      <c r="CG268" s="126"/>
      <c r="CH268" s="209"/>
      <c r="CI268" s="256"/>
      <c r="CJ268" s="208"/>
      <c r="CK268" s="208"/>
      <c r="CL268" s="254"/>
      <c r="CM268" s="209"/>
      <c r="CN268" s="254"/>
      <c r="CO268" s="28"/>
      <c r="CP268" s="28"/>
      <c r="CQ268" s="28"/>
      <c r="CR268" s="28"/>
      <c r="CS268" s="28"/>
      <c r="CT268" s="28"/>
      <c r="CU268" s="28"/>
      <c r="CV268" s="28"/>
    </row>
    <row r="269" spans="1:100" ht="12" customHeight="1" x14ac:dyDescent="0.2">
      <c r="A269" s="200" t="s">
        <v>442</v>
      </c>
      <c r="B269" s="118">
        <v>0</v>
      </c>
      <c r="C269" s="236">
        <f t="shared" si="151"/>
        <v>155.13015298735527</v>
      </c>
      <c r="D269" s="237">
        <f t="shared" si="152"/>
        <v>4.9976168401510837</v>
      </c>
      <c r="E269" s="238">
        <f t="shared" si="153"/>
        <v>2763.3937688450255</v>
      </c>
      <c r="F269" s="239">
        <f>G206-AB206/2</f>
        <v>312.17067700572738</v>
      </c>
      <c r="G269" s="154">
        <f t="shared" si="92"/>
        <v>7.2774193548387114E-2</v>
      </c>
      <c r="H269" s="149">
        <f t="shared" si="93"/>
        <v>0.18688624457059855</v>
      </c>
      <c r="I269" s="240">
        <f t="shared" si="94"/>
        <v>312.17067700572738</v>
      </c>
      <c r="J269" s="154">
        <f t="shared" si="95"/>
        <v>0.58813897492632827</v>
      </c>
      <c r="K269" s="241">
        <f t="shared" si="96"/>
        <v>312.17067700572738</v>
      </c>
      <c r="L269" s="150">
        <f t="shared" si="97"/>
        <v>0.65584127891706434</v>
      </c>
      <c r="M269" s="150">
        <f t="shared" si="98"/>
        <v>3.6292447153072502</v>
      </c>
      <c r="N269" s="152">
        <f t="shared" si="99"/>
        <v>2.957852855692927E-5</v>
      </c>
      <c r="O269" s="152">
        <f t="shared" si="154"/>
        <v>547.48751262617759</v>
      </c>
      <c r="P269" s="153">
        <f t="shared" si="100"/>
        <v>0.11689764336908075</v>
      </c>
      <c r="Q269" s="154">
        <f t="shared" si="101"/>
        <v>0.72386871620440119</v>
      </c>
      <c r="R269" s="155">
        <f t="shared" si="102"/>
        <v>0.68163979670031805</v>
      </c>
      <c r="S269" s="154">
        <f t="shared" si="103"/>
        <v>4.5831073626999758E-2</v>
      </c>
      <c r="T269" s="148">
        <f t="shared" si="104"/>
        <v>0.31506486589170607</v>
      </c>
      <c r="U269" s="148">
        <f t="shared" si="105"/>
        <v>0.21183377903612913</v>
      </c>
      <c r="V269" s="154">
        <f t="shared" si="106"/>
        <v>5.8560000000000008</v>
      </c>
      <c r="W269" s="154">
        <f t="shared" si="107"/>
        <v>35.375821112107523</v>
      </c>
      <c r="X269" s="154">
        <f t="shared" si="108"/>
        <v>0.70571626522519848</v>
      </c>
      <c r="Y269" s="112"/>
      <c r="Z269" s="242">
        <f t="shared" si="109"/>
        <v>0.11667427528403615</v>
      </c>
      <c r="AA269" s="235">
        <f t="shared" si="110"/>
        <v>2.6401095129543286</v>
      </c>
      <c r="AB269" s="236">
        <f t="shared" si="111"/>
        <v>155.13015298735527</v>
      </c>
      <c r="AC269" s="243">
        <f t="shared" si="112"/>
        <v>0.28335700678826964</v>
      </c>
      <c r="AD269" s="243">
        <f t="shared" si="113"/>
        <v>17.649671923411297</v>
      </c>
      <c r="AE269" s="244">
        <f t="shared" si="114"/>
        <v>1.4257651584039778E-5</v>
      </c>
      <c r="AF269" s="244">
        <f t="shared" si="115"/>
        <v>14776.252381260474</v>
      </c>
      <c r="AG269" s="245">
        <f t="shared" si="116"/>
        <v>4.3491329084680064E-2</v>
      </c>
      <c r="AH269" s="244">
        <f t="shared" si="117"/>
        <v>47.977800288754153</v>
      </c>
      <c r="AI269" s="246">
        <f t="shared" si="118"/>
        <v>1.05762583683583</v>
      </c>
      <c r="AJ269" s="235">
        <f t="shared" si="119"/>
        <v>3.1694374384839213E-2</v>
      </c>
      <c r="AK269" s="235">
        <f t="shared" si="120"/>
        <v>1.1429859687795823</v>
      </c>
      <c r="AL269" s="235">
        <f t="shared" si="121"/>
        <v>1.045664730220486</v>
      </c>
      <c r="AM269" s="235">
        <f t="shared" si="122"/>
        <v>53.272681373306909</v>
      </c>
      <c r="AN269" s="235">
        <f t="shared" si="123"/>
        <v>373.45047950319383</v>
      </c>
      <c r="AO269" s="235">
        <f t="shared" si="124"/>
        <v>5.3044042337878876</v>
      </c>
      <c r="AP269" s="247">
        <f t="shared" si="155"/>
        <v>172.02428954745062</v>
      </c>
      <c r="AQ269" s="248">
        <f t="shared" si="125"/>
        <v>1.1996047746238345</v>
      </c>
      <c r="AR269" s="94">
        <f t="shared" si="126"/>
        <v>7.2852593234819076E-3</v>
      </c>
      <c r="AS269" s="249">
        <f t="shared" si="127"/>
        <v>1.086922964204218</v>
      </c>
      <c r="AT269" s="247">
        <f t="shared" si="128"/>
        <v>173.02428954745062</v>
      </c>
      <c r="AU269" s="248">
        <f t="shared" si="129"/>
        <v>1.1910451192778773</v>
      </c>
      <c r="AV269" s="94">
        <f t="shared" si="130"/>
        <v>7.2522341039861641E-3</v>
      </c>
      <c r="AW269" s="249">
        <f t="shared" si="131"/>
        <v>1.1512602542656454</v>
      </c>
      <c r="AX269" s="247">
        <f t="shared" si="132"/>
        <v>173.66925208770539</v>
      </c>
      <c r="AY269" s="249">
        <f t="shared" si="133"/>
        <v>1.1927553962967712</v>
      </c>
      <c r="AZ269" s="238">
        <f t="shared" si="134"/>
        <v>2764.9881622594398</v>
      </c>
      <c r="BA269" s="250">
        <f t="shared" si="135"/>
        <v>155.8963931373419</v>
      </c>
      <c r="BB269" s="235">
        <f t="shared" si="136"/>
        <v>155.17103962848677</v>
      </c>
      <c r="BC269" s="247">
        <f t="shared" si="137"/>
        <v>173.66925208770539</v>
      </c>
      <c r="BD269" s="248">
        <f t="shared" si="138"/>
        <v>1.1855244622222434</v>
      </c>
      <c r="BE269" s="94">
        <f t="shared" si="139"/>
        <v>7.230815906620976E-3</v>
      </c>
      <c r="BF269" s="249">
        <f t="shared" si="140"/>
        <v>1.1901248606066568</v>
      </c>
      <c r="BG269" s="247">
        <f t="shared" si="141"/>
        <v>174.66925208770539</v>
      </c>
      <c r="BH269" s="248">
        <f t="shared" si="142"/>
        <v>1.1769648068762861</v>
      </c>
      <c r="BI269" s="94">
        <f t="shared" si="143"/>
        <v>7.1974235284945863E-3</v>
      </c>
      <c r="BJ269" s="249">
        <f t="shared" si="144"/>
        <v>1.2544621506680842</v>
      </c>
      <c r="BK269" s="247">
        <f t="shared" si="145"/>
        <v>173.70531962286398</v>
      </c>
      <c r="BL269" s="248">
        <f t="shared" si="146"/>
        <v>1.1852157365521077</v>
      </c>
      <c r="BM269" s="136">
        <f t="shared" si="147"/>
        <v>7.2296154174550584E-3</v>
      </c>
      <c r="BN269" s="250">
        <f t="shared" si="148"/>
        <v>1.192445348077956</v>
      </c>
      <c r="BO269" s="236">
        <f t="shared" si="149"/>
        <v>2764.987747810897</v>
      </c>
      <c r="BP269" s="251">
        <f t="shared" si="150"/>
        <v>155.89619360048479</v>
      </c>
      <c r="BY269" s="254"/>
      <c r="BZ269" s="254"/>
      <c r="CA269" s="253"/>
      <c r="CB269" s="256"/>
      <c r="CC269" s="256"/>
      <c r="CD269" s="257"/>
      <c r="CE269" s="255"/>
      <c r="CF269" s="255"/>
      <c r="CG269" s="126"/>
      <c r="CH269" s="209"/>
      <c r="CI269" s="256"/>
      <c r="CJ269" s="208"/>
      <c r="CK269" s="208"/>
      <c r="CL269" s="254"/>
      <c r="CM269" s="209"/>
      <c r="CN269" s="254"/>
      <c r="CO269" s="28"/>
      <c r="CP269" s="28"/>
      <c r="CQ269" s="28"/>
      <c r="CR269" s="28"/>
      <c r="CS269" s="28"/>
      <c r="CT269" s="28"/>
      <c r="CU269" s="28"/>
      <c r="CV269" s="28"/>
    </row>
    <row r="270" spans="1:100" ht="12" customHeight="1" x14ac:dyDescent="0.2">
      <c r="A270" s="200" t="s">
        <v>442</v>
      </c>
      <c r="B270" s="118">
        <v>0</v>
      </c>
      <c r="C270" s="236">
        <f t="shared" si="151"/>
        <v>155.89619360048479</v>
      </c>
      <c r="D270" s="237">
        <f t="shared" si="152"/>
        <v>4.9971370621481963</v>
      </c>
      <c r="E270" s="238">
        <f t="shared" si="153"/>
        <v>2764.987747810897</v>
      </c>
      <c r="F270" s="239">
        <f>G205-AB205/2</f>
        <v>319.48878548624714</v>
      </c>
      <c r="G270" s="154">
        <f t="shared" si="92"/>
        <v>8.4903225806451627E-2</v>
      </c>
      <c r="H270" s="149">
        <f t="shared" si="93"/>
        <v>0.18839311065444286</v>
      </c>
      <c r="I270" s="240">
        <f t="shared" si="94"/>
        <v>319.48878548624714</v>
      </c>
      <c r="J270" s="154">
        <f t="shared" si="95"/>
        <v>0.57976320113612334</v>
      </c>
      <c r="K270" s="241">
        <f t="shared" si="96"/>
        <v>319.48878548624714</v>
      </c>
      <c r="L270" s="150">
        <f t="shared" si="97"/>
        <v>0.66531614414432161</v>
      </c>
      <c r="M270" s="150">
        <f t="shared" si="98"/>
        <v>3.6816760057119216</v>
      </c>
      <c r="N270" s="152">
        <f t="shared" si="99"/>
        <v>2.9817020595735389E-5</v>
      </c>
      <c r="O270" s="152">
        <f t="shared" si="154"/>
        <v>543.10842274736581</v>
      </c>
      <c r="P270" s="153">
        <f t="shared" si="100"/>
        <v>0.11784019050238605</v>
      </c>
      <c r="Q270" s="154">
        <f t="shared" si="101"/>
        <v>0.74024724867421954</v>
      </c>
      <c r="R270" s="155">
        <f t="shared" si="102"/>
        <v>0.68172871935026336</v>
      </c>
      <c r="S270" s="154">
        <f t="shared" si="103"/>
        <v>4.6197484000510908E-2</v>
      </c>
      <c r="T270" s="148">
        <f t="shared" si="104"/>
        <v>0.32049808098936799</v>
      </c>
      <c r="U270" s="148">
        <f t="shared" si="105"/>
        <v>0.21558498839340495</v>
      </c>
      <c r="V270" s="154">
        <f t="shared" si="106"/>
        <v>5.8560000000000008</v>
      </c>
      <c r="W270" s="154">
        <f t="shared" si="107"/>
        <v>35.658643808613483</v>
      </c>
      <c r="X270" s="154">
        <f t="shared" si="108"/>
        <v>0.71135832725583203</v>
      </c>
      <c r="Y270" s="112"/>
      <c r="Z270" s="242">
        <f t="shared" si="109"/>
        <v>0.11669575283514602</v>
      </c>
      <c r="AA270" s="235">
        <f t="shared" si="110"/>
        <v>2.6342633587977362</v>
      </c>
      <c r="AB270" s="236">
        <f t="shared" si="111"/>
        <v>155.89619360048479</v>
      </c>
      <c r="AC270" s="243">
        <f t="shared" si="112"/>
        <v>0.28398585383862335</v>
      </c>
      <c r="AD270" s="243">
        <f t="shared" si="113"/>
        <v>17.688841394653775</v>
      </c>
      <c r="AE270" s="244">
        <f t="shared" si="114"/>
        <v>1.4289420962603075E-5</v>
      </c>
      <c r="AF270" s="244">
        <f t="shared" si="115"/>
        <v>14743.400640320398</v>
      </c>
      <c r="AG270" s="245">
        <f t="shared" si="116"/>
        <v>4.3499335024643968E-2</v>
      </c>
      <c r="AH270" s="244">
        <f t="shared" si="117"/>
        <v>48.093127625083284</v>
      </c>
      <c r="AI270" s="246">
        <f t="shared" si="118"/>
        <v>1.0567048331247886</v>
      </c>
      <c r="AJ270" s="235">
        <f t="shared" si="119"/>
        <v>3.1749974140604542E-2</v>
      </c>
      <c r="AK270" s="235">
        <f t="shared" si="120"/>
        <v>1.128360284048485</v>
      </c>
      <c r="AL270" s="235">
        <f t="shared" si="121"/>
        <v>1.0406061756619007</v>
      </c>
      <c r="AM270" s="235">
        <f t="shared" si="122"/>
        <v>52.902213800025677</v>
      </c>
      <c r="AN270" s="235">
        <f t="shared" si="123"/>
        <v>371.50400781463952</v>
      </c>
      <c r="AO270" s="235">
        <f t="shared" si="124"/>
        <v>5.2767570001320321</v>
      </c>
      <c r="AP270" s="247">
        <f t="shared" si="155"/>
        <v>173.70531962286398</v>
      </c>
      <c r="AQ270" s="248">
        <f t="shared" si="125"/>
        <v>1.2578325867489788</v>
      </c>
      <c r="AR270" s="94">
        <f t="shared" si="126"/>
        <v>7.7875917920618041E-3</v>
      </c>
      <c r="AS270" s="249">
        <f t="shared" si="127"/>
        <v>1.1398188978133357</v>
      </c>
      <c r="AT270" s="247">
        <f t="shared" si="128"/>
        <v>174.70531962286398</v>
      </c>
      <c r="AU270" s="248">
        <f t="shared" si="129"/>
        <v>1.2492044986506501</v>
      </c>
      <c r="AV270" s="94">
        <f t="shared" si="130"/>
        <v>7.7541913332574144E-3</v>
      </c>
      <c r="AW270" s="249">
        <f t="shared" si="131"/>
        <v>1.2038208536859047</v>
      </c>
      <c r="AX270" s="247">
        <f t="shared" si="132"/>
        <v>175.43660667806836</v>
      </c>
      <c r="AY270" s="249">
        <f t="shared" si="133"/>
        <v>1.2506246555232763</v>
      </c>
      <c r="AZ270" s="238">
        <f t="shared" si="134"/>
        <v>2766.6594968726586</v>
      </c>
      <c r="BA270" s="250">
        <f t="shared" si="135"/>
        <v>156.69968076604235</v>
      </c>
      <c r="BB270" s="235">
        <f t="shared" si="136"/>
        <v>155.93536019726457</v>
      </c>
      <c r="BC270" s="247">
        <f t="shared" si="137"/>
        <v>175.43660667806836</v>
      </c>
      <c r="BD270" s="248">
        <f t="shared" si="138"/>
        <v>1.2428948895131793</v>
      </c>
      <c r="BE270" s="94">
        <f t="shared" si="139"/>
        <v>7.7296239113573313E-3</v>
      </c>
      <c r="BF270" s="249">
        <f t="shared" si="140"/>
        <v>1.2481179167244982</v>
      </c>
      <c r="BG270" s="247">
        <f t="shared" si="141"/>
        <v>176.43660667806836</v>
      </c>
      <c r="BH270" s="248">
        <f t="shared" si="142"/>
        <v>1.2342668014148506</v>
      </c>
      <c r="BI270" s="94">
        <f t="shared" si="143"/>
        <v>7.6958340348726615E-3</v>
      </c>
      <c r="BJ270" s="249">
        <f t="shared" si="144"/>
        <v>1.3121198725970673</v>
      </c>
      <c r="BK270" s="247">
        <f t="shared" si="145"/>
        <v>175.47110247284439</v>
      </c>
      <c r="BL270" s="248">
        <f t="shared" si="146"/>
        <v>1.2425972567568297</v>
      </c>
      <c r="BM270" s="136">
        <f t="shared" si="147"/>
        <v>7.7284620603293268E-3</v>
      </c>
      <c r="BN270" s="250">
        <f t="shared" si="148"/>
        <v>1.2503257150595433</v>
      </c>
      <c r="BO270" s="236">
        <f t="shared" si="149"/>
        <v>2766.6590972721096</v>
      </c>
      <c r="BP270" s="251">
        <f t="shared" si="150"/>
        <v>156.69948837688932</v>
      </c>
      <c r="BY270" s="254"/>
      <c r="BZ270" s="254"/>
      <c r="CA270" s="253"/>
      <c r="CB270" s="256"/>
      <c r="CC270" s="256"/>
      <c r="CD270" s="257"/>
      <c r="CE270" s="255"/>
      <c r="CF270" s="255"/>
      <c r="CG270" s="126"/>
      <c r="CH270" s="209"/>
      <c r="CI270" s="256"/>
      <c r="CJ270" s="208"/>
      <c r="CK270" s="208"/>
      <c r="CL270" s="254"/>
      <c r="CM270" s="209"/>
      <c r="CN270" s="254"/>
      <c r="CO270" s="28"/>
      <c r="CP270" s="28"/>
      <c r="CQ270" s="28"/>
      <c r="CR270" s="28"/>
      <c r="CS270" s="28"/>
      <c r="CT270" s="28"/>
      <c r="CU270" s="28"/>
      <c r="CV270" s="28"/>
    </row>
    <row r="271" spans="1:100" ht="12" customHeight="1" x14ac:dyDescent="0.2">
      <c r="A271" s="200" t="s">
        <v>442</v>
      </c>
      <c r="B271" s="118">
        <v>0</v>
      </c>
      <c r="C271" s="236">
        <f t="shared" si="151"/>
        <v>156.69948837688932</v>
      </c>
      <c r="D271" s="237">
        <f t="shared" si="152"/>
        <v>4.996656130871945</v>
      </c>
      <c r="E271" s="238">
        <f t="shared" si="153"/>
        <v>2766.6590972721096</v>
      </c>
      <c r="F271" s="239">
        <f>G204-AB204/2</f>
        <v>327.33878699854375</v>
      </c>
      <c r="G271" s="154">
        <f t="shared" si="92"/>
        <v>9.7032258064516153E-2</v>
      </c>
      <c r="H271" s="149">
        <f t="shared" si="93"/>
        <v>0.1900028671831667</v>
      </c>
      <c r="I271" s="240">
        <f t="shared" si="94"/>
        <v>327.33878699854375</v>
      </c>
      <c r="J271" s="154">
        <f t="shared" si="95"/>
        <v>0.57111720150337997</v>
      </c>
      <c r="K271" s="241">
        <f t="shared" si="96"/>
        <v>327.33878699854375</v>
      </c>
      <c r="L271" s="150">
        <f t="shared" si="97"/>
        <v>0.67538819787127624</v>
      </c>
      <c r="M271" s="150">
        <f t="shared" si="98"/>
        <v>3.7374119725318198</v>
      </c>
      <c r="N271" s="152">
        <f t="shared" si="99"/>
        <v>3.0071797128721846E-5</v>
      </c>
      <c r="O271" s="152">
        <f t="shared" si="154"/>
        <v>538.50705887173774</v>
      </c>
      <c r="P271" s="153">
        <f t="shared" si="100"/>
        <v>0.1188470957726918</v>
      </c>
      <c r="Q271" s="154">
        <f t="shared" si="101"/>
        <v>0.7578745874104319</v>
      </c>
      <c r="R271" s="155">
        <f t="shared" si="102"/>
        <v>0.68184003279891958</v>
      </c>
      <c r="S271" s="154">
        <f t="shared" si="103"/>
        <v>4.6590525726230084E-2</v>
      </c>
      <c r="T271" s="148">
        <f t="shared" si="104"/>
        <v>0.32632658613358817</v>
      </c>
      <c r="U271" s="148">
        <f t="shared" si="105"/>
        <v>0.21961693817679115</v>
      </c>
      <c r="V271" s="154">
        <f t="shared" si="106"/>
        <v>5.8560000000000008</v>
      </c>
      <c r="W271" s="154">
        <f t="shared" si="107"/>
        <v>35.962022557533828</v>
      </c>
      <c r="X271" s="154">
        <f t="shared" si="108"/>
        <v>0.71741046430611477</v>
      </c>
      <c r="Y271" s="112"/>
      <c r="Z271" s="242">
        <f t="shared" si="109"/>
        <v>0.1167182646291063</v>
      </c>
      <c r="AA271" s="235">
        <f t="shared" si="110"/>
        <v>2.6281767232651956</v>
      </c>
      <c r="AB271" s="236">
        <f t="shared" si="111"/>
        <v>156.69948837688932</v>
      </c>
      <c r="AC271" s="243">
        <f t="shared" si="112"/>
        <v>0.28464354111414469</v>
      </c>
      <c r="AD271" s="243">
        <f t="shared" si="113"/>
        <v>17.729807258786536</v>
      </c>
      <c r="AE271" s="244">
        <f t="shared" si="114"/>
        <v>1.4322735677749223E-5</v>
      </c>
      <c r="AF271" s="244">
        <f t="shared" si="115"/>
        <v>14709.107457532637</v>
      </c>
      <c r="AG271" s="245">
        <f t="shared" si="116"/>
        <v>4.3507726487432341E-2</v>
      </c>
      <c r="AH271" s="244">
        <f t="shared" si="117"/>
        <v>48.21380638891214</v>
      </c>
      <c r="AI271" s="246">
        <f t="shared" si="118"/>
        <v>1.0557431549721128</v>
      </c>
      <c r="AJ271" s="235">
        <f t="shared" si="119"/>
        <v>3.1808405333417548E-2</v>
      </c>
      <c r="AK271" s="235">
        <f t="shared" si="120"/>
        <v>1.1169058668706273</v>
      </c>
      <c r="AL271" s="235">
        <f t="shared" si="121"/>
        <v>1.0367249466256243</v>
      </c>
      <c r="AM271" s="235">
        <f t="shared" si="122"/>
        <v>52.587648494940836</v>
      </c>
      <c r="AN271" s="235">
        <f t="shared" si="123"/>
        <v>369.97461710571611</v>
      </c>
      <c r="AO271" s="235">
        <f t="shared" si="124"/>
        <v>5.2550338882422807</v>
      </c>
      <c r="AP271" s="247">
        <f t="shared" si="155"/>
        <v>175.47110247284439</v>
      </c>
      <c r="AQ271" s="248">
        <f t="shared" si="125"/>
        <v>1.3214758465104004</v>
      </c>
      <c r="AR271" s="94">
        <f t="shared" si="126"/>
        <v>8.3504222352680391E-3</v>
      </c>
      <c r="AS271" s="249">
        <f t="shared" si="127"/>
        <v>1.1964740660461348</v>
      </c>
      <c r="AT271" s="247">
        <f t="shared" si="128"/>
        <v>176.47110247284439</v>
      </c>
      <c r="AU271" s="248">
        <f t="shared" si="129"/>
        <v>1.3127743518465584</v>
      </c>
      <c r="AV271" s="94">
        <f t="shared" si="130"/>
        <v>8.3166245690605208E-3</v>
      </c>
      <c r="AW271" s="249">
        <f t="shared" si="131"/>
        <v>1.2602125415938477</v>
      </c>
      <c r="AX271" s="247">
        <f t="shared" si="132"/>
        <v>177.31110895525126</v>
      </c>
      <c r="AY271" s="249">
        <f t="shared" si="133"/>
        <v>1.3137532742326579</v>
      </c>
      <c r="AZ271" s="238">
        <f t="shared" si="134"/>
        <v>2768.4152323314061</v>
      </c>
      <c r="BA271" s="250">
        <f t="shared" si="135"/>
        <v>157.54360775867144</v>
      </c>
      <c r="BB271" s="235">
        <f t="shared" si="136"/>
        <v>156.73948397796801</v>
      </c>
      <c r="BC271" s="247">
        <f t="shared" si="137"/>
        <v>177.31110895525126</v>
      </c>
      <c r="BD271" s="248">
        <f t="shared" si="138"/>
        <v>1.3054650399223025</v>
      </c>
      <c r="BE271" s="94">
        <f t="shared" si="139"/>
        <v>8.2880594364365557E-3</v>
      </c>
      <c r="BF271" s="249">
        <f t="shared" si="140"/>
        <v>1.3112040155912879</v>
      </c>
      <c r="BG271" s="247">
        <f t="shared" si="141"/>
        <v>178.31110895525126</v>
      </c>
      <c r="BH271" s="248">
        <f t="shared" si="142"/>
        <v>1.2967635452584605</v>
      </c>
      <c r="BI271" s="94">
        <f t="shared" si="143"/>
        <v>8.2538445290025585E-3</v>
      </c>
      <c r="BJ271" s="249">
        <f t="shared" si="144"/>
        <v>1.3749424911390007</v>
      </c>
      <c r="BK271" s="247">
        <f t="shared" si="145"/>
        <v>177.34628125506072</v>
      </c>
      <c r="BL271" s="248">
        <f t="shared" si="146"/>
        <v>1.3051589883431955</v>
      </c>
      <c r="BM271" s="136">
        <f t="shared" si="147"/>
        <v>8.2868598801320286E-3</v>
      </c>
      <c r="BN271" s="250">
        <f t="shared" si="148"/>
        <v>1.31344584436265</v>
      </c>
      <c r="BO271" s="236">
        <f t="shared" si="149"/>
        <v>2768.4148213828712</v>
      </c>
      <c r="BP271" s="251">
        <f t="shared" si="150"/>
        <v>157.54340990507717</v>
      </c>
      <c r="BY271" s="254"/>
      <c r="BZ271" s="254"/>
      <c r="CA271" s="253"/>
      <c r="CB271" s="256"/>
      <c r="CC271" s="256"/>
      <c r="CD271" s="257"/>
      <c r="CE271" s="255"/>
      <c r="CF271" s="255"/>
      <c r="CG271" s="126"/>
      <c r="CH271" s="209"/>
      <c r="CI271" s="256"/>
      <c r="CJ271" s="208"/>
      <c r="CK271" s="208"/>
      <c r="CL271" s="254"/>
      <c r="CM271" s="209"/>
      <c r="CN271" s="254"/>
      <c r="CO271" s="28"/>
      <c r="CP271" s="28"/>
      <c r="CQ271" s="28"/>
      <c r="CR271" s="28"/>
      <c r="CS271" s="28"/>
      <c r="CT271" s="28"/>
      <c r="CU271" s="28"/>
      <c r="CV271" s="28"/>
    </row>
    <row r="272" spans="1:100" ht="12" customHeight="1" x14ac:dyDescent="0.2">
      <c r="A272" s="200" t="s">
        <v>442</v>
      </c>
      <c r="B272" s="118">
        <v>0</v>
      </c>
      <c r="C272" s="236">
        <f t="shared" si="151"/>
        <v>157.54340990507717</v>
      </c>
      <c r="D272" s="237">
        <f t="shared" si="152"/>
        <v>4.996173992808056</v>
      </c>
      <c r="E272" s="238">
        <f t="shared" si="153"/>
        <v>2768.4148213828712</v>
      </c>
      <c r="F272" s="239">
        <f>G203-AB203/2</f>
        <v>335.79504344919337</v>
      </c>
      <c r="G272" s="154">
        <f t="shared" si="92"/>
        <v>0.10916129032258068</v>
      </c>
      <c r="H272" s="149">
        <f t="shared" si="93"/>
        <v>0.1917292656926245</v>
      </c>
      <c r="I272" s="240">
        <f t="shared" si="94"/>
        <v>335.79504344919337</v>
      </c>
      <c r="J272" s="154">
        <f t="shared" si="95"/>
        <v>0.56217133062406721</v>
      </c>
      <c r="K272" s="241">
        <f t="shared" si="96"/>
        <v>335.79504344919337</v>
      </c>
      <c r="L272" s="150">
        <f t="shared" si="97"/>
        <v>0.68613569651170148</v>
      </c>
      <c r="M272" s="150">
        <f t="shared" si="98"/>
        <v>3.7968856651727299</v>
      </c>
      <c r="N272" s="152">
        <f t="shared" si="99"/>
        <v>3.0345034614605116E-5</v>
      </c>
      <c r="O272" s="152">
        <f t="shared" si="154"/>
        <v>533.65814975809678</v>
      </c>
      <c r="P272" s="153">
        <f t="shared" si="100"/>
        <v>0.11992696078755795</v>
      </c>
      <c r="Q272" s="154">
        <f t="shared" si="101"/>
        <v>0.77693045580656106</v>
      </c>
      <c r="R272" s="155">
        <f t="shared" si="102"/>
        <v>0.68197799592549557</v>
      </c>
      <c r="S272" s="154">
        <f t="shared" si="103"/>
        <v>4.7013922030457664E-2</v>
      </c>
      <c r="T272" s="148">
        <f t="shared" si="104"/>
        <v>0.33260362424869389</v>
      </c>
      <c r="U272" s="148">
        <f t="shared" si="105"/>
        <v>0.22396860264075438</v>
      </c>
      <c r="V272" s="154">
        <f t="shared" si="106"/>
        <v>5.8560000000000008</v>
      </c>
      <c r="W272" s="154">
        <f t="shared" si="107"/>
        <v>36.288831221013595</v>
      </c>
      <c r="X272" s="154">
        <f t="shared" si="108"/>
        <v>0.72393000737773106</v>
      </c>
      <c r="Y272" s="112"/>
      <c r="Z272" s="242">
        <f t="shared" si="109"/>
        <v>0.11674190367496182</v>
      </c>
      <c r="AA272" s="235">
        <f t="shared" si="110"/>
        <v>2.6218294250881189</v>
      </c>
      <c r="AB272" s="236">
        <f t="shared" si="111"/>
        <v>157.54340990507717</v>
      </c>
      <c r="AC272" s="243">
        <f t="shared" si="112"/>
        <v>0.28533264674868453</v>
      </c>
      <c r="AD272" s="243">
        <f t="shared" si="113"/>
        <v>17.772730101980212</v>
      </c>
      <c r="AE272" s="244">
        <f t="shared" si="114"/>
        <v>1.4357735647914179E-5</v>
      </c>
      <c r="AF272" s="244">
        <f t="shared" si="115"/>
        <v>14673.25094542019</v>
      </c>
      <c r="AG272" s="245">
        <f t="shared" si="116"/>
        <v>4.3516538142958361E-2</v>
      </c>
      <c r="AH272" s="244">
        <f t="shared" si="117"/>
        <v>48.340317661661615</v>
      </c>
      <c r="AI272" s="246">
        <f t="shared" si="118"/>
        <v>1.0547373360098722</v>
      </c>
      <c r="AJ272" s="235">
        <f t="shared" si="119"/>
        <v>3.1869931305557916E-2</v>
      </c>
      <c r="AK272" s="235">
        <f t="shared" si="120"/>
        <v>1.1076538437697006</v>
      </c>
      <c r="AL272" s="235">
        <f t="shared" si="121"/>
        <v>1.0336376589622858</v>
      </c>
      <c r="AM272" s="235">
        <f t="shared" si="122"/>
        <v>52.308824874464555</v>
      </c>
      <c r="AN272" s="235">
        <f t="shared" si="123"/>
        <v>368.7248198318245</v>
      </c>
      <c r="AO272" s="235">
        <f t="shared" si="124"/>
        <v>5.237282056835272</v>
      </c>
      <c r="AP272" s="247">
        <f t="shared" si="155"/>
        <v>177.34628125506072</v>
      </c>
      <c r="AQ272" s="248">
        <f t="shared" si="125"/>
        <v>1.3912705131501863</v>
      </c>
      <c r="AR272" s="94">
        <f t="shared" si="126"/>
        <v>8.984712195588284E-3</v>
      </c>
      <c r="AS272" s="249">
        <f t="shared" si="127"/>
        <v>1.2579410248694325</v>
      </c>
      <c r="AT272" s="247">
        <f t="shared" si="128"/>
        <v>178.34628125506072</v>
      </c>
      <c r="AU272" s="248">
        <f t="shared" si="129"/>
        <v>1.382489942738121</v>
      </c>
      <c r="AV272" s="94">
        <f t="shared" si="130"/>
        <v>8.950489279190902E-3</v>
      </c>
      <c r="AW272" s="249">
        <f t="shared" si="131"/>
        <v>1.32146418788137</v>
      </c>
      <c r="AX272" s="247">
        <f t="shared" si="132"/>
        <v>179.31363294255732</v>
      </c>
      <c r="AY272" s="249">
        <f t="shared" si="133"/>
        <v>1.3829134268160896</v>
      </c>
      <c r="AZ272" s="238">
        <f t="shared" si="134"/>
        <v>2770.2634049795302</v>
      </c>
      <c r="BA272" s="250">
        <f t="shared" si="135"/>
        <v>158.43204371505084</v>
      </c>
      <c r="BB272" s="235">
        <f t="shared" si="136"/>
        <v>157.58576384650942</v>
      </c>
      <c r="BC272" s="247">
        <f t="shared" si="137"/>
        <v>179.31363294255732</v>
      </c>
      <c r="BD272" s="248">
        <f t="shared" si="138"/>
        <v>1.3739960431328269</v>
      </c>
      <c r="BE272" s="94">
        <f t="shared" si="139"/>
        <v>8.9171665192795263E-3</v>
      </c>
      <c r="BF272" s="249">
        <f t="shared" si="140"/>
        <v>1.3802229704902906</v>
      </c>
      <c r="BG272" s="247">
        <f t="shared" si="141"/>
        <v>180.31363294255732</v>
      </c>
      <c r="BH272" s="248">
        <f t="shared" si="142"/>
        <v>1.3652154727207613</v>
      </c>
      <c r="BI272" s="94">
        <f t="shared" si="143"/>
        <v>8.88249363121274E-3</v>
      </c>
      <c r="BJ272" s="249">
        <f t="shared" si="144"/>
        <v>1.4437461335022281</v>
      </c>
      <c r="BK272" s="247">
        <f t="shared" si="145"/>
        <v>179.35082258080024</v>
      </c>
      <c r="BL272" s="248">
        <f t="shared" si="146"/>
        <v>1.3736694968956358</v>
      </c>
      <c r="BM272" s="136">
        <f t="shared" si="147"/>
        <v>8.9158811569856663E-3</v>
      </c>
      <c r="BN272" s="250">
        <f t="shared" si="148"/>
        <v>1.3825853739427507</v>
      </c>
      <c r="BO272" s="236">
        <f t="shared" si="149"/>
        <v>2770.2629664637489</v>
      </c>
      <c r="BP272" s="251">
        <f t="shared" si="150"/>
        <v>158.43183258806803</v>
      </c>
      <c r="BY272" s="254"/>
      <c r="BZ272" s="254"/>
      <c r="CA272" s="253"/>
      <c r="CB272" s="256"/>
      <c r="CC272" s="256"/>
      <c r="CD272" s="257"/>
      <c r="CE272" s="255"/>
      <c r="CF272" s="255"/>
      <c r="CG272" s="126"/>
      <c r="CH272" s="209"/>
      <c r="CI272" s="256"/>
      <c r="CJ272" s="208"/>
      <c r="CK272" s="208"/>
      <c r="CL272" s="254"/>
      <c r="CM272" s="209"/>
      <c r="CN272" s="254"/>
      <c r="CO272" s="28"/>
      <c r="CP272" s="28"/>
      <c r="CQ272" s="28"/>
      <c r="CR272" s="28"/>
      <c r="CS272" s="28"/>
      <c r="CT272" s="28"/>
      <c r="CU272" s="28"/>
      <c r="CV272" s="28"/>
    </row>
    <row r="273" spans="1:100" ht="12" customHeight="1" x14ac:dyDescent="0.2">
      <c r="A273" s="200" t="s">
        <v>442</v>
      </c>
      <c r="B273" s="118">
        <v>0</v>
      </c>
      <c r="C273" s="236">
        <f t="shared" si="151"/>
        <v>158.43183258806803</v>
      </c>
      <c r="D273" s="237">
        <f t="shared" si="152"/>
        <v>4.9956905896314394</v>
      </c>
      <c r="E273" s="238">
        <f t="shared" si="153"/>
        <v>2770.2629664637489</v>
      </c>
      <c r="F273" s="239">
        <f>G202-AB202/2</f>
        <v>344.93063191212804</v>
      </c>
      <c r="G273" s="154">
        <f t="shared" si="92"/>
        <v>0.1212903225806452</v>
      </c>
      <c r="H273" s="149">
        <f t="shared" si="93"/>
        <v>0.19358540377146172</v>
      </c>
      <c r="I273" s="240">
        <f t="shared" si="94"/>
        <v>344.93063191212804</v>
      </c>
      <c r="J273" s="154">
        <f t="shared" si="95"/>
        <v>0.55290779418181735</v>
      </c>
      <c r="K273" s="241">
        <f t="shared" si="96"/>
        <v>344.93063191212804</v>
      </c>
      <c r="L273" s="150">
        <f t="shared" si="97"/>
        <v>0.69763136196595721</v>
      </c>
      <c r="M273" s="150">
        <f t="shared" si="98"/>
        <v>3.860499506569977</v>
      </c>
      <c r="N273" s="152">
        <f t="shared" si="99"/>
        <v>3.0638806011727658E-5</v>
      </c>
      <c r="O273" s="152">
        <f t="shared" si="154"/>
        <v>528.54132176616201</v>
      </c>
      <c r="P273" s="153">
        <f t="shared" si="100"/>
        <v>0.12108797810952418</v>
      </c>
      <c r="Q273" s="154">
        <f t="shared" si="101"/>
        <v>0.79759482528883008</v>
      </c>
      <c r="R273" s="155">
        <f t="shared" si="102"/>
        <v>0.68214759070933151</v>
      </c>
      <c r="S273" s="154">
        <f t="shared" si="103"/>
        <v>4.7471331809208338E-2</v>
      </c>
      <c r="T273" s="148">
        <f t="shared" si="104"/>
        <v>0.33939331309919013</v>
      </c>
      <c r="U273" s="148">
        <f t="shared" si="105"/>
        <v>0.22868717910420405</v>
      </c>
      <c r="V273" s="154">
        <f t="shared" si="106"/>
        <v>5.8560000000000008</v>
      </c>
      <c r="W273" s="154">
        <f t="shared" si="107"/>
        <v>36.641894006313045</v>
      </c>
      <c r="X273" s="154">
        <f t="shared" si="108"/>
        <v>0.73097329690144064</v>
      </c>
      <c r="Y273" s="112"/>
      <c r="Z273" s="242">
        <f t="shared" si="109"/>
        <v>0.11676677677330315</v>
      </c>
      <c r="AA273" s="235">
        <f t="shared" si="110"/>
        <v>2.615198382014329</v>
      </c>
      <c r="AB273" s="236">
        <f t="shared" si="111"/>
        <v>158.43183258806803</v>
      </c>
      <c r="AC273" s="243">
        <f t="shared" si="112"/>
        <v>0.2860561303222296</v>
      </c>
      <c r="AD273" s="243">
        <f t="shared" si="113"/>
        <v>17.81779426982904</v>
      </c>
      <c r="AE273" s="244">
        <f t="shared" si="114"/>
        <v>1.4394581611921572E-5</v>
      </c>
      <c r="AF273" s="244">
        <f t="shared" si="115"/>
        <v>14635.691668549051</v>
      </c>
      <c r="AG273" s="245">
        <f t="shared" si="116"/>
        <v>4.3525809802051035E-2</v>
      </c>
      <c r="AH273" s="244">
        <f t="shared" si="117"/>
        <v>48.473213905378394</v>
      </c>
      <c r="AI273" s="246">
        <f t="shared" si="118"/>
        <v>1.0536834112321334</v>
      </c>
      <c r="AJ273" s="235">
        <f t="shared" si="119"/>
        <v>3.1934855140974966E-2</v>
      </c>
      <c r="AK273" s="235">
        <f t="shared" si="120"/>
        <v>1.0999998382400307</v>
      </c>
      <c r="AL273" s="235">
        <f t="shared" si="121"/>
        <v>1.0311137884730031</v>
      </c>
      <c r="AM273" s="235">
        <f t="shared" si="122"/>
        <v>52.053398445010295</v>
      </c>
      <c r="AN273" s="235">
        <f t="shared" si="123"/>
        <v>367.67179928710419</v>
      </c>
      <c r="AO273" s="235">
        <f t="shared" si="124"/>
        <v>5.22232519657602</v>
      </c>
      <c r="AP273" s="247">
        <f t="shared" si="155"/>
        <v>179.35082258080024</v>
      </c>
      <c r="AQ273" s="248">
        <f t="shared" si="125"/>
        <v>1.4680303739303064</v>
      </c>
      <c r="AR273" s="94">
        <f t="shared" si="126"/>
        <v>9.7031879485539752E-3</v>
      </c>
      <c r="AS273" s="249">
        <f t="shared" si="127"/>
        <v>1.3250454505085043</v>
      </c>
      <c r="AT273" s="247">
        <f t="shared" si="128"/>
        <v>180.35082258080024</v>
      </c>
      <c r="AU273" s="248">
        <f t="shared" si="129"/>
        <v>1.4591643752324048</v>
      </c>
      <c r="AV273" s="94">
        <f t="shared" si="130"/>
        <v>9.6685065167270452E-3</v>
      </c>
      <c r="AW273" s="249">
        <f t="shared" si="131"/>
        <v>1.3883872012798781</v>
      </c>
      <c r="AX273" s="247">
        <f t="shared" si="132"/>
        <v>181.46437426318175</v>
      </c>
      <c r="AY273" s="249">
        <f t="shared" si="133"/>
        <v>1.4589215144163317</v>
      </c>
      <c r="AZ273" s="238">
        <f t="shared" si="134"/>
        <v>2772.2131524465199</v>
      </c>
      <c r="BA273" s="250">
        <f t="shared" si="135"/>
        <v>159.36938852294585</v>
      </c>
      <c r="BB273" s="235">
        <f t="shared" si="136"/>
        <v>158.47757618472764</v>
      </c>
      <c r="BC273" s="247">
        <f t="shared" si="137"/>
        <v>181.46437426318175</v>
      </c>
      <c r="BD273" s="248">
        <f t="shared" si="138"/>
        <v>1.4492916274663648</v>
      </c>
      <c r="BE273" s="94">
        <f t="shared" si="139"/>
        <v>9.6296159387669802E-3</v>
      </c>
      <c r="BF273" s="249">
        <f t="shared" si="140"/>
        <v>1.4560240349173328</v>
      </c>
      <c r="BG273" s="247">
        <f t="shared" si="141"/>
        <v>182.46437426318175</v>
      </c>
      <c r="BH273" s="248">
        <f t="shared" si="142"/>
        <v>1.4404256287684634</v>
      </c>
      <c r="BI273" s="94">
        <f t="shared" si="143"/>
        <v>9.5944466404378672E-3</v>
      </c>
      <c r="BJ273" s="249">
        <f t="shared" si="144"/>
        <v>1.5193657856887066</v>
      </c>
      <c r="BK273" s="247">
        <f t="shared" si="145"/>
        <v>181.50447796520851</v>
      </c>
      <c r="BL273" s="248">
        <f t="shared" si="146"/>
        <v>1.4489360680964143</v>
      </c>
      <c r="BM273" s="136">
        <f t="shared" si="147"/>
        <v>9.6282099803057207E-3</v>
      </c>
      <c r="BN273" s="250">
        <f t="shared" si="148"/>
        <v>1.4585642736161208</v>
      </c>
      <c r="BO273" s="236">
        <f t="shared" si="149"/>
        <v>2772.2126749145591</v>
      </c>
      <c r="BP273" s="251">
        <f t="shared" si="150"/>
        <v>159.36915861024187</v>
      </c>
      <c r="BY273" s="254"/>
      <c r="BZ273" s="254"/>
      <c r="CA273" s="253"/>
      <c r="CB273" s="256"/>
      <c r="CC273" s="256"/>
      <c r="CD273" s="257"/>
      <c r="CE273" s="255"/>
      <c r="CF273" s="255"/>
      <c r="CG273" s="126"/>
      <c r="CH273" s="209"/>
      <c r="CI273" s="256"/>
      <c r="CJ273" s="208"/>
      <c r="CK273" s="208"/>
      <c r="CL273" s="254"/>
      <c r="CM273" s="209"/>
      <c r="CN273" s="254"/>
      <c r="CO273" s="28"/>
      <c r="CP273" s="28"/>
      <c r="CQ273" s="28"/>
      <c r="CR273" s="28"/>
      <c r="CS273" s="28"/>
      <c r="CT273" s="28"/>
      <c r="CU273" s="28"/>
      <c r="CV273" s="28"/>
    </row>
    <row r="274" spans="1:100" ht="12" customHeight="1" x14ac:dyDescent="0.2">
      <c r="A274" s="200" t="s">
        <v>442</v>
      </c>
      <c r="B274" s="118">
        <v>0</v>
      </c>
      <c r="C274" s="236">
        <f t="shared" si="151"/>
        <v>159.36915861024187</v>
      </c>
      <c r="D274" s="237">
        <f t="shared" si="152"/>
        <v>4.9952058574923859</v>
      </c>
      <c r="E274" s="238">
        <f t="shared" si="153"/>
        <v>2772.2126749145591</v>
      </c>
      <c r="F274" s="239">
        <f>G201-AB201/2</f>
        <v>354.83164222104244</v>
      </c>
      <c r="G274" s="154">
        <f t="shared" si="92"/>
        <v>0.13341935483870973</v>
      </c>
      <c r="H274" s="149">
        <f t="shared" si="93"/>
        <v>0.19558656074935626</v>
      </c>
      <c r="I274" s="240">
        <f t="shared" si="94"/>
        <v>354.83164222104244</v>
      </c>
      <c r="J274" s="154">
        <f t="shared" si="95"/>
        <v>0.54330642988753775</v>
      </c>
      <c r="K274" s="241">
        <f t="shared" si="96"/>
        <v>354.83164222104244</v>
      </c>
      <c r="L274" s="150">
        <f t="shared" si="97"/>
        <v>0.70995997153300405</v>
      </c>
      <c r="M274" s="150">
        <f t="shared" si="98"/>
        <v>3.9287226309091041</v>
      </c>
      <c r="N274" s="152">
        <f t="shared" si="99"/>
        <v>3.0955529583082808E-5</v>
      </c>
      <c r="O274" s="152">
        <f t="shared" si="154"/>
        <v>523.13351588161868</v>
      </c>
      <c r="P274" s="153">
        <f t="shared" si="100"/>
        <v>0.12233970498361786</v>
      </c>
      <c r="Q274" s="154">
        <f t="shared" si="101"/>
        <v>0.82008070957343271</v>
      </c>
      <c r="R274" s="155">
        <f t="shared" si="102"/>
        <v>0.68235486983117566</v>
      </c>
      <c r="S274" s="154">
        <f t="shared" si="103"/>
        <v>4.7967065494365371E-2</v>
      </c>
      <c r="T274" s="148">
        <f t="shared" si="104"/>
        <v>0.3467737220321892</v>
      </c>
      <c r="U274" s="148">
        <f t="shared" si="105"/>
        <v>0.2338304973309073</v>
      </c>
      <c r="V274" s="154">
        <f t="shared" si="106"/>
        <v>5.8560000000000008</v>
      </c>
      <c r="W274" s="154">
        <f t="shared" si="107"/>
        <v>37.024538024388796</v>
      </c>
      <c r="X274" s="154">
        <f t="shared" si="108"/>
        <v>0.73860670579084631</v>
      </c>
      <c r="Y274" s="112"/>
      <c r="Z274" s="242">
        <f t="shared" si="109"/>
        <v>0.11679300518351236</v>
      </c>
      <c r="AA274" s="235">
        <f t="shared" si="110"/>
        <v>2.6082575809066801</v>
      </c>
      <c r="AB274" s="236">
        <f t="shared" si="111"/>
        <v>159.36915861024187</v>
      </c>
      <c r="AC274" s="243">
        <f t="shared" si="112"/>
        <v>0.28681735065595909</v>
      </c>
      <c r="AD274" s="243">
        <f t="shared" si="113"/>
        <v>17.865208975764983</v>
      </c>
      <c r="AE274" s="244">
        <f t="shared" si="114"/>
        <v>1.4433456207883438E-5</v>
      </c>
      <c r="AF274" s="244">
        <f t="shared" si="115"/>
        <v>14596.272378252763</v>
      </c>
      <c r="AG274" s="245">
        <f t="shared" si="116"/>
        <v>4.3535586665177033E-2</v>
      </c>
      <c r="AH274" s="244">
        <f t="shared" si="117"/>
        <v>48.613122493254977</v>
      </c>
      <c r="AI274" s="246">
        <f t="shared" si="118"/>
        <v>1.0525769076819338</v>
      </c>
      <c r="AJ274" s="235">
        <f t="shared" si="119"/>
        <v>3.20035222517802E-2</v>
      </c>
      <c r="AK274" s="235">
        <f t="shared" si="120"/>
        <v>1.0935458268092448</v>
      </c>
      <c r="AL274" s="235">
        <f t="shared" si="121"/>
        <v>1.0290057125013854</v>
      </c>
      <c r="AM274" s="235">
        <f t="shared" si="122"/>
        <v>51.813236849555913</v>
      </c>
      <c r="AN274" s="235">
        <f t="shared" si="123"/>
        <v>366.76238132609058</v>
      </c>
      <c r="AO274" s="235">
        <f t="shared" si="124"/>
        <v>5.2094080342012372</v>
      </c>
      <c r="AP274" s="247">
        <f t="shared" si="155"/>
        <v>181.50447796520851</v>
      </c>
      <c r="AQ274" s="248">
        <f t="shared" si="125"/>
        <v>1.5527660576279525</v>
      </c>
      <c r="AR274" s="94">
        <f t="shared" si="126"/>
        <v>1.0521831233429967E-2</v>
      </c>
      <c r="AS274" s="249">
        <f t="shared" si="127"/>
        <v>1.3986218820404006</v>
      </c>
      <c r="AT274" s="247">
        <f t="shared" si="128"/>
        <v>182.50447796520851</v>
      </c>
      <c r="AU274" s="248">
        <f t="shared" si="129"/>
        <v>1.5438074730673923</v>
      </c>
      <c r="AV274" s="94">
        <f t="shared" si="130"/>
        <v>1.0486652634094009E-2</v>
      </c>
      <c r="AW274" s="249">
        <f t="shared" si="131"/>
        <v>1.4618069601326478</v>
      </c>
      <c r="AX274" s="247">
        <f t="shared" si="132"/>
        <v>183.78583915034795</v>
      </c>
      <c r="AY274" s="249">
        <f t="shared" si="133"/>
        <v>1.5427698666800582</v>
      </c>
      <c r="AZ274" s="238">
        <f t="shared" si="134"/>
        <v>2774.2749436102436</v>
      </c>
      <c r="BA274" s="250">
        <f t="shared" si="135"/>
        <v>160.36068308773164</v>
      </c>
      <c r="BB274" s="235">
        <f t="shared" si="136"/>
        <v>159.41912963622963</v>
      </c>
      <c r="BC274" s="247">
        <f t="shared" si="137"/>
        <v>183.78583915034795</v>
      </c>
      <c r="BD274" s="248">
        <f t="shared" si="138"/>
        <v>1.5323282905377011</v>
      </c>
      <c r="BE274" s="94">
        <f t="shared" si="139"/>
        <v>1.0441236241345464E-2</v>
      </c>
      <c r="BF274" s="249">
        <f t="shared" si="140"/>
        <v>1.5396124435006719</v>
      </c>
      <c r="BG274" s="247">
        <f t="shared" si="141"/>
        <v>184.78583915034795</v>
      </c>
      <c r="BH274" s="248">
        <f t="shared" si="142"/>
        <v>1.5233697059771414</v>
      </c>
      <c r="BI274" s="94">
        <f t="shared" si="143"/>
        <v>1.0405525835647685E-2</v>
      </c>
      <c r="BJ274" s="249">
        <f t="shared" si="144"/>
        <v>1.6027975215929193</v>
      </c>
      <c r="BK274" s="247">
        <f t="shared" si="145"/>
        <v>183.82957856154809</v>
      </c>
      <c r="BL274" s="248">
        <f t="shared" si="146"/>
        <v>1.5319364473238357</v>
      </c>
      <c r="BM274" s="136">
        <f t="shared" si="147"/>
        <v>1.0439679185415177E-2</v>
      </c>
      <c r="BN274" s="250">
        <f t="shared" si="148"/>
        <v>1.5423761216130616</v>
      </c>
      <c r="BO274" s="236">
        <f t="shared" si="149"/>
        <v>2774.2744172821795</v>
      </c>
      <c r="BP274" s="251">
        <f t="shared" si="150"/>
        <v>160.36042968046189</v>
      </c>
      <c r="BY274" s="254"/>
      <c r="BZ274" s="254"/>
      <c r="CA274" s="253"/>
      <c r="CB274" s="256"/>
      <c r="CC274" s="256"/>
      <c r="CD274" s="257"/>
      <c r="CE274" s="255"/>
      <c r="CF274" s="255"/>
      <c r="CG274" s="126"/>
      <c r="CH274" s="209"/>
      <c r="CI274" s="256"/>
      <c r="CJ274" s="208"/>
      <c r="CK274" s="208"/>
      <c r="CL274" s="254"/>
      <c r="CM274" s="209"/>
      <c r="CN274" s="254"/>
      <c r="CO274" s="28"/>
      <c r="CP274" s="28"/>
      <c r="CQ274" s="28"/>
      <c r="CR274" s="28"/>
      <c r="CS274" s="28"/>
      <c r="CT274" s="28"/>
      <c r="CU274" s="28"/>
      <c r="CV274" s="28"/>
    </row>
    <row r="275" spans="1:100" ht="12" customHeight="1" x14ac:dyDescent="0.2">
      <c r="A275" s="200" t="s">
        <v>442</v>
      </c>
      <c r="B275" s="118">
        <v>0</v>
      </c>
      <c r="C275" s="236">
        <f t="shared" si="151"/>
        <v>160.36042968046189</v>
      </c>
      <c r="D275" s="237">
        <f t="shared" si="152"/>
        <v>4.9947197262674532</v>
      </c>
      <c r="E275" s="238">
        <f t="shared" si="153"/>
        <v>2774.2744172821795</v>
      </c>
      <c r="F275" s="239">
        <f>G200-AB200/2</f>
        <v>365.60039989383262</v>
      </c>
      <c r="G275" s="154">
        <f t="shared" si="92"/>
        <v>0.14554838709677426</v>
      </c>
      <c r="H275" s="149">
        <f t="shared" si="93"/>
        <v>0.19775070736139638</v>
      </c>
      <c r="I275" s="240">
        <f t="shared" si="94"/>
        <v>365.60039989383262</v>
      </c>
      <c r="J275" s="154">
        <f t="shared" si="95"/>
        <v>0.53334416759615288</v>
      </c>
      <c r="K275" s="241">
        <f t="shared" si="96"/>
        <v>365.60039989383262</v>
      </c>
      <c r="L275" s="150">
        <f t="shared" si="97"/>
        <v>0.72322121611485435</v>
      </c>
      <c r="M275" s="150">
        <f t="shared" si="98"/>
        <v>4.0021067001408355</v>
      </c>
      <c r="N275" s="152">
        <f t="shared" si="99"/>
        <v>3.1298049561012111E-5</v>
      </c>
      <c r="O275" s="152">
        <f t="shared" si="154"/>
        <v>517.40844090643373</v>
      </c>
      <c r="P275" s="153">
        <f t="shared" si="100"/>
        <v>0.12369338213323336</v>
      </c>
      <c r="Q275" s="154">
        <f t="shared" si="101"/>
        <v>0.84464249311906947</v>
      </c>
      <c r="R275" s="155">
        <f t="shared" si="102"/>
        <v>0.6826072390763237</v>
      </c>
      <c r="S275" s="154">
        <f t="shared" si="103"/>
        <v>4.8506246422284308E-2</v>
      </c>
      <c r="T275" s="148">
        <f t="shared" si="104"/>
        <v>0.3548410952251379</v>
      </c>
      <c r="U275" s="148">
        <f t="shared" si="105"/>
        <v>0.23947036146566311</v>
      </c>
      <c r="V275" s="154">
        <f t="shared" si="106"/>
        <v>5.8560000000000008</v>
      </c>
      <c r="W275" s="154">
        <f t="shared" si="107"/>
        <v>37.440717846148068</v>
      </c>
      <c r="X275" s="154">
        <f t="shared" si="108"/>
        <v>0.74690912422922762</v>
      </c>
      <c r="Y275" s="112"/>
      <c r="Z275" s="242">
        <f t="shared" si="109"/>
        <v>0.11682072767916719</v>
      </c>
      <c r="AA275" s="235">
        <f t="shared" si="110"/>
        <v>2.600977465737798</v>
      </c>
      <c r="AB275" s="236">
        <f t="shared" si="111"/>
        <v>160.36042968046189</v>
      </c>
      <c r="AC275" s="243">
        <f t="shared" si="112"/>
        <v>0.28762015013143122</v>
      </c>
      <c r="AD275" s="243">
        <f t="shared" si="113"/>
        <v>17.915213553110611</v>
      </c>
      <c r="AE275" s="244">
        <f t="shared" si="114"/>
        <v>1.4474568609985955E-5</v>
      </c>
      <c r="AF275" s="244">
        <f t="shared" si="115"/>
        <v>14554.814298541942</v>
      </c>
      <c r="AG275" s="245">
        <f t="shared" si="116"/>
        <v>4.3545920461368501E-2</v>
      </c>
      <c r="AH275" s="244">
        <f t="shared" si="117"/>
        <v>48.760761554954385</v>
      </c>
      <c r="AI275" s="246">
        <f t="shared" si="118"/>
        <v>1.0514127391587036</v>
      </c>
      <c r="AJ275" s="235">
        <f t="shared" si="119"/>
        <v>3.207632941383394E-2</v>
      </c>
      <c r="AK275" s="235">
        <f t="shared" si="120"/>
        <v>1.0880181883248465</v>
      </c>
      <c r="AL275" s="235">
        <f t="shared" si="121"/>
        <v>1.0272141649964661</v>
      </c>
      <c r="AM275" s="235">
        <f t="shared" si="122"/>
        <v>51.582627992773844</v>
      </c>
      <c r="AN275" s="235">
        <f t="shared" si="123"/>
        <v>365.96066697502124</v>
      </c>
      <c r="AO275" s="235">
        <f t="shared" si="124"/>
        <v>5.1980206689908401</v>
      </c>
      <c r="AP275" s="247">
        <f t="shared" si="155"/>
        <v>183.82957856154809</v>
      </c>
      <c r="AQ275" s="248">
        <f t="shared" si="125"/>
        <v>1.646713649979622</v>
      </c>
      <c r="AR275" s="94">
        <f t="shared" si="126"/>
        <v>1.1460815437890372E-2</v>
      </c>
      <c r="AS275" s="249">
        <f t="shared" si="127"/>
        <v>1.4796584994768882</v>
      </c>
      <c r="AT275" s="247">
        <f t="shared" si="128"/>
        <v>184.82957856154809</v>
      </c>
      <c r="AU275" s="248">
        <f t="shared" si="129"/>
        <v>1.6376543651180029</v>
      </c>
      <c r="AV275" s="94">
        <f t="shared" si="130"/>
        <v>1.1425094784114834E-2</v>
      </c>
      <c r="AW275" s="249">
        <f t="shared" si="131"/>
        <v>1.5427054598491643</v>
      </c>
      <c r="AX275" s="247">
        <f t="shared" si="132"/>
        <v>186.30408786752659</v>
      </c>
      <c r="AY275" s="249">
        <f t="shared" si="133"/>
        <v>1.635668789631743</v>
      </c>
      <c r="AZ275" s="238">
        <f t="shared" si="134"/>
        <v>2776.4608668714654</v>
      </c>
      <c r="BA275" s="250">
        <f t="shared" si="135"/>
        <v>161.41174814035014</v>
      </c>
      <c r="BB275" s="235">
        <f t="shared" si="136"/>
        <v>160.41543888828988</v>
      </c>
      <c r="BC275" s="247">
        <f t="shared" si="137"/>
        <v>186.30408786752659</v>
      </c>
      <c r="BD275" s="248">
        <f t="shared" si="138"/>
        <v>1.6242963652840354</v>
      </c>
      <c r="BE275" s="94">
        <f t="shared" si="139"/>
        <v>1.1371995634235826E-2</v>
      </c>
      <c r="BF275" s="249">
        <f t="shared" si="140"/>
        <v>1.6322006262857012</v>
      </c>
      <c r="BG275" s="247">
        <f t="shared" si="141"/>
        <v>187.30408786752659</v>
      </c>
      <c r="BH275" s="248">
        <f t="shared" si="142"/>
        <v>1.6152370804224165</v>
      </c>
      <c r="BI275" s="94">
        <f t="shared" si="143"/>
        <v>1.1335692008241161E-2</v>
      </c>
      <c r="BJ275" s="249">
        <f t="shared" si="144"/>
        <v>1.6952475866579773</v>
      </c>
      <c r="BK275" s="247">
        <f t="shared" si="145"/>
        <v>186.35215568169968</v>
      </c>
      <c r="BL275" s="248">
        <f t="shared" si="146"/>
        <v>1.6238609052627662</v>
      </c>
      <c r="BM275" s="136">
        <f t="shared" si="147"/>
        <v>1.1370256013852996E-2</v>
      </c>
      <c r="BN275" s="250">
        <f t="shared" si="148"/>
        <v>1.6352311558610542</v>
      </c>
      <c r="BO275" s="236">
        <f t="shared" si="149"/>
        <v>2776.4602818763465</v>
      </c>
      <c r="BP275" s="251">
        <f t="shared" si="150"/>
        <v>161.41146648577669</v>
      </c>
      <c r="BY275" s="254"/>
      <c r="BZ275" s="254"/>
      <c r="CA275" s="253"/>
      <c r="CB275" s="256"/>
      <c r="CC275" s="256"/>
      <c r="CD275" s="257"/>
      <c r="CE275" s="255"/>
      <c r="CF275" s="255"/>
      <c r="CG275" s="126"/>
      <c r="CH275" s="209"/>
      <c r="CI275" s="256"/>
      <c r="CJ275" s="208"/>
      <c r="CK275" s="208"/>
      <c r="CL275" s="254"/>
      <c r="CM275" s="209"/>
      <c r="CN275" s="254"/>
      <c r="CO275" s="28"/>
      <c r="CP275" s="28"/>
      <c r="CQ275" s="28"/>
      <c r="CR275" s="28"/>
      <c r="CS275" s="28"/>
      <c r="CT275" s="28"/>
      <c r="CU275" s="28"/>
      <c r="CV275" s="28"/>
    </row>
    <row r="276" spans="1:100" ht="12" customHeight="1" x14ac:dyDescent="0.2">
      <c r="A276" s="200" t="s">
        <v>442</v>
      </c>
      <c r="B276" s="118">
        <v>0</v>
      </c>
      <c r="C276" s="236">
        <f t="shared" si="151"/>
        <v>161.41146648577669</v>
      </c>
      <c r="D276" s="237">
        <f t="shared" si="152"/>
        <v>4.9942321186519036</v>
      </c>
      <c r="E276" s="238">
        <f t="shared" si="153"/>
        <v>2776.4602818763465</v>
      </c>
      <c r="F276" s="239">
        <f>G199-AB199/2</f>
        <v>377.35975087702019</v>
      </c>
      <c r="G276" s="154">
        <f t="shared" si="92"/>
        <v>0.15767741935483878</v>
      </c>
      <c r="H276" s="149">
        <f t="shared" si="93"/>
        <v>0.20009917513229994</v>
      </c>
      <c r="I276" s="240">
        <f t="shared" si="94"/>
        <v>377.35975087702019</v>
      </c>
      <c r="J276" s="154">
        <f t="shared" si="95"/>
        <v>0.52299431994505163</v>
      </c>
      <c r="K276" s="241">
        <f t="shared" si="96"/>
        <v>377.35975087702019</v>
      </c>
      <c r="L276" s="150">
        <f t="shared" si="97"/>
        <v>0.73753347366598676</v>
      </c>
      <c r="M276" s="150">
        <f t="shared" si="98"/>
        <v>4.08130678520918</v>
      </c>
      <c r="N276" s="152">
        <f t="shared" si="99"/>
        <v>3.1669742090798369E-5</v>
      </c>
      <c r="O276" s="152">
        <f t="shared" si="154"/>
        <v>511.3358669087707</v>
      </c>
      <c r="P276" s="153">
        <f t="shared" si="100"/>
        <v>0.1251623524610263</v>
      </c>
      <c r="Q276" s="154">
        <f t="shared" si="101"/>
        <v>0.87158702670050037</v>
      </c>
      <c r="R276" s="155">
        <f t="shared" si="102"/>
        <v>0.68291383211797774</v>
      </c>
      <c r="S276" s="154">
        <f t="shared" si="103"/>
        <v>4.9095025366661521E-2</v>
      </c>
      <c r="T276" s="148">
        <f t="shared" si="104"/>
        <v>0.3637157670527898</v>
      </c>
      <c r="U276" s="148">
        <f t="shared" si="105"/>
        <v>0.24569728708221195</v>
      </c>
      <c r="V276" s="154">
        <f t="shared" si="106"/>
        <v>5.8560000000000008</v>
      </c>
      <c r="W276" s="154">
        <f t="shared" si="107"/>
        <v>37.895181094824693</v>
      </c>
      <c r="X276" s="154">
        <f t="shared" si="108"/>
        <v>0.75597526309062102</v>
      </c>
      <c r="Y276" s="112"/>
      <c r="Z276" s="242">
        <f t="shared" si="109"/>
        <v>0.11685010435744261</v>
      </c>
      <c r="AA276" s="235">
        <f t="shared" si="110"/>
        <v>2.5933241821322763</v>
      </c>
      <c r="AB276" s="236">
        <f t="shared" si="111"/>
        <v>161.41146648577669</v>
      </c>
      <c r="AC276" s="243">
        <f t="shared" si="112"/>
        <v>0.2884689597768989</v>
      </c>
      <c r="AD276" s="243">
        <f t="shared" si="113"/>
        <v>17.968084000669815</v>
      </c>
      <c r="AE276" s="244">
        <f t="shared" si="114"/>
        <v>1.4518160315253957E-5</v>
      </c>
      <c r="AF276" s="244">
        <f t="shared" si="115"/>
        <v>14511.11253734387</v>
      </c>
      <c r="AG276" s="245">
        <f t="shared" si="116"/>
        <v>4.3556870868209946E-2</v>
      </c>
      <c r="AH276" s="244">
        <f t="shared" si="117"/>
        <v>48.91695974034451</v>
      </c>
      <c r="AI276" s="246">
        <f t="shared" si="118"/>
        <v>1.0501850761727733</v>
      </c>
      <c r="AJ276" s="235">
        <f t="shared" si="119"/>
        <v>3.2153736086854526E-2</v>
      </c>
      <c r="AK276" s="235">
        <f t="shared" si="120"/>
        <v>1.0832221537369231</v>
      </c>
      <c r="AL276" s="235">
        <f t="shared" si="121"/>
        <v>1.0256697386818419</v>
      </c>
      <c r="AM276" s="235">
        <f t="shared" si="122"/>
        <v>51.357311808602979</v>
      </c>
      <c r="AN276" s="235">
        <f t="shared" si="123"/>
        <v>365.24140715387904</v>
      </c>
      <c r="AO276" s="235">
        <f t="shared" si="124"/>
        <v>5.1878044688522422</v>
      </c>
      <c r="AP276" s="247">
        <f t="shared" si="155"/>
        <v>186.35215568169968</v>
      </c>
      <c r="AQ276" s="248">
        <f t="shared" si="125"/>
        <v>1.7513960775262452</v>
      </c>
      <c r="AR276" s="94">
        <f t="shared" si="126"/>
        <v>1.2545908566827357E-2</v>
      </c>
      <c r="AS276" s="249">
        <f t="shared" si="127"/>
        <v>1.5693441772239021</v>
      </c>
      <c r="AT276" s="247">
        <f t="shared" si="128"/>
        <v>187.35215568169968</v>
      </c>
      <c r="AU276" s="248">
        <f t="shared" si="129"/>
        <v>1.7422268291739202</v>
      </c>
      <c r="AV276" s="94">
        <f t="shared" si="130"/>
        <v>1.2509593554133116E-2</v>
      </c>
      <c r="AW276" s="249">
        <f t="shared" si="131"/>
        <v>1.6322672249751424</v>
      </c>
      <c r="AX276" s="247">
        <f t="shared" si="132"/>
        <v>189.05008381115599</v>
      </c>
      <c r="AY276" s="249">
        <f t="shared" si="133"/>
        <v>1.7391060377430949</v>
      </c>
      <c r="AZ276" s="238">
        <f t="shared" si="134"/>
        <v>2778.7849992678202</v>
      </c>
      <c r="BA276" s="250">
        <f t="shared" si="135"/>
        <v>162.52936197053302</v>
      </c>
      <c r="BB276" s="235">
        <f t="shared" si="136"/>
        <v>161.47240042941144</v>
      </c>
      <c r="BC276" s="247">
        <f t="shared" si="137"/>
        <v>189.05008381115599</v>
      </c>
      <c r="BD276" s="248">
        <f t="shared" si="138"/>
        <v>1.7266581044705369</v>
      </c>
      <c r="BE276" s="94">
        <f t="shared" si="139"/>
        <v>1.244738890557047E-2</v>
      </c>
      <c r="BF276" s="249">
        <f t="shared" si="140"/>
        <v>1.7352718882980942</v>
      </c>
      <c r="BG276" s="247">
        <f t="shared" si="141"/>
        <v>190.05008381115599</v>
      </c>
      <c r="BH276" s="248">
        <f t="shared" si="142"/>
        <v>1.717488856118212</v>
      </c>
      <c r="BI276" s="94">
        <f t="shared" si="143"/>
        <v>1.2410430961304886E-2</v>
      </c>
      <c r="BJ276" s="249">
        <f t="shared" si="144"/>
        <v>1.7981949360493343</v>
      </c>
      <c r="BK276" s="247">
        <f t="shared" si="145"/>
        <v>189.10323291312051</v>
      </c>
      <c r="BL276" s="248">
        <f t="shared" si="146"/>
        <v>1.7261707671549213</v>
      </c>
      <c r="BM276" s="136">
        <f t="shared" si="147"/>
        <v>1.2445430651528687E-2</v>
      </c>
      <c r="BN276" s="250">
        <f t="shared" si="148"/>
        <v>1.7386161917789433</v>
      </c>
      <c r="BO276" s="236">
        <f t="shared" si="149"/>
        <v>2778.7843444794398</v>
      </c>
      <c r="BP276" s="251">
        <f t="shared" si="150"/>
        <v>162.52904671148622</v>
      </c>
      <c r="BY276" s="254"/>
      <c r="BZ276" s="254"/>
      <c r="CA276" s="253"/>
      <c r="CB276" s="256"/>
      <c r="CC276" s="256"/>
      <c r="CD276" s="257"/>
      <c r="CE276" s="255"/>
      <c r="CF276" s="255"/>
      <c r="CG276" s="126"/>
      <c r="CH276" s="209"/>
      <c r="CI276" s="256"/>
      <c r="CJ276" s="208"/>
      <c r="CK276" s="208"/>
      <c r="CL276" s="254"/>
      <c r="CM276" s="209"/>
      <c r="CN276" s="254"/>
      <c r="CO276" s="28"/>
      <c r="CP276" s="28"/>
      <c r="CQ276" s="28"/>
      <c r="CR276" s="28"/>
      <c r="CS276" s="28"/>
      <c r="CT276" s="28"/>
      <c r="CU276" s="28"/>
      <c r="CV276" s="28"/>
    </row>
    <row r="277" spans="1:100" ht="12" customHeight="1" x14ac:dyDescent="0.2">
      <c r="A277" s="200" t="s">
        <v>442</v>
      </c>
      <c r="B277" s="118">
        <v>0</v>
      </c>
      <c r="C277" s="236">
        <f t="shared" si="151"/>
        <v>162.52904671148622</v>
      </c>
      <c r="D277" s="237">
        <f t="shared" si="152"/>
        <v>4.9937429490545</v>
      </c>
      <c r="E277" s="238">
        <f t="shared" si="153"/>
        <v>2778.7843444794398</v>
      </c>
      <c r="F277" s="239">
        <f>G198-AB198/2</f>
        <v>390.25885976451281</v>
      </c>
      <c r="G277" s="154">
        <f t="shared" si="92"/>
        <v>0.16980645161290331</v>
      </c>
      <c r="H277" s="149">
        <f t="shared" si="93"/>
        <v>0.20265755060519894</v>
      </c>
      <c r="I277" s="240">
        <f t="shared" si="94"/>
        <v>390.25885976451281</v>
      </c>
      <c r="J277" s="154">
        <f t="shared" si="95"/>
        <v>0.51222563392558162</v>
      </c>
      <c r="K277" s="241">
        <f t="shared" si="96"/>
        <v>390.25885976451281</v>
      </c>
      <c r="L277" s="150">
        <f t="shared" si="97"/>
        <v>0.75303887964477445</v>
      </c>
      <c r="M277" s="150">
        <f t="shared" si="98"/>
        <v>4.1671094245308886</v>
      </c>
      <c r="N277" s="152">
        <f t="shared" si="99"/>
        <v>3.2074656760459376E-5</v>
      </c>
      <c r="O277" s="152">
        <f t="shared" si="154"/>
        <v>504.88069592497919</v>
      </c>
      <c r="P277" s="153">
        <f t="shared" si="100"/>
        <v>0.12676262039044137</v>
      </c>
      <c r="Q277" s="154">
        <f t="shared" si="101"/>
        <v>0.90128867037362448</v>
      </c>
      <c r="R277" s="155">
        <f t="shared" si="102"/>
        <v>0.68328601504301811</v>
      </c>
      <c r="S277" s="154">
        <f t="shared" si="103"/>
        <v>4.9740870849549389E-2</v>
      </c>
      <c r="T277" s="148">
        <f t="shared" si="104"/>
        <v>0.37355064038367131</v>
      </c>
      <c r="U277" s="148">
        <f t="shared" si="105"/>
        <v>0.25262738441706151</v>
      </c>
      <c r="V277" s="154">
        <f t="shared" si="106"/>
        <v>5.8560000000000008</v>
      </c>
      <c r="W277" s="154">
        <f t="shared" si="107"/>
        <v>38.39369252954797</v>
      </c>
      <c r="X277" s="154">
        <f t="shared" si="108"/>
        <v>0.76592012420833389</v>
      </c>
      <c r="Y277" s="112"/>
      <c r="Z277" s="242">
        <f t="shared" si="109"/>
        <v>0.11688132149855718</v>
      </c>
      <c r="AA277" s="235">
        <f t="shared" si="110"/>
        <v>2.5852586201381271</v>
      </c>
      <c r="AB277" s="236">
        <f t="shared" si="111"/>
        <v>162.52904671148622</v>
      </c>
      <c r="AC277" s="243">
        <f t="shared" si="112"/>
        <v>0.28936893328838609</v>
      </c>
      <c r="AD277" s="243">
        <f t="shared" si="113"/>
        <v>18.024141330599821</v>
      </c>
      <c r="AE277" s="244">
        <f t="shared" si="114"/>
        <v>1.4564512530784979E-5</v>
      </c>
      <c r="AF277" s="244">
        <f t="shared" si="115"/>
        <v>14464.930269691302</v>
      </c>
      <c r="AG277" s="245">
        <f t="shared" si="116"/>
        <v>4.3568507323238199E-2</v>
      </c>
      <c r="AH277" s="244">
        <f t="shared" si="117"/>
        <v>49.082681439739304</v>
      </c>
      <c r="AI277" s="246">
        <f t="shared" si="118"/>
        <v>1.0488871812281002</v>
      </c>
      <c r="AJ277" s="235">
        <f t="shared" si="119"/>
        <v>3.2236278906955795E-2</v>
      </c>
      <c r="AK277" s="235">
        <f t="shared" si="120"/>
        <v>1.0790150233008293</v>
      </c>
      <c r="AL277" s="235">
        <f t="shared" si="121"/>
        <v>1.0243223276316091</v>
      </c>
      <c r="AM277" s="235">
        <f t="shared" si="122"/>
        <v>51.133916981142143</v>
      </c>
      <c r="AN277" s="235">
        <f t="shared" si="123"/>
        <v>364.58621812997023</v>
      </c>
      <c r="AO277" s="235">
        <f t="shared" si="124"/>
        <v>5.1784983154983175</v>
      </c>
      <c r="AP277" s="247">
        <f t="shared" si="155"/>
        <v>189.10323291312051</v>
      </c>
      <c r="AQ277" s="248">
        <f t="shared" si="125"/>
        <v>1.8687096018197467</v>
      </c>
      <c r="AR277" s="94">
        <f t="shared" si="126"/>
        <v>1.3810486690515612E-2</v>
      </c>
      <c r="AS277" s="249">
        <f t="shared" si="127"/>
        <v>1.6691292357683587</v>
      </c>
      <c r="AT277" s="247">
        <f t="shared" si="128"/>
        <v>190.10323291312051</v>
      </c>
      <c r="AU277" s="248">
        <f t="shared" si="129"/>
        <v>1.8594197319261228</v>
      </c>
      <c r="AV277" s="94">
        <f t="shared" si="130"/>
        <v>1.3773516004889911E-2</v>
      </c>
      <c r="AW277" s="249">
        <f t="shared" si="131"/>
        <v>1.7319394088853706</v>
      </c>
      <c r="AX277" s="247">
        <f t="shared" si="132"/>
        <v>192.06136552504705</v>
      </c>
      <c r="AY277" s="249">
        <f t="shared" si="133"/>
        <v>1.8549300572265435</v>
      </c>
      <c r="AZ277" s="238">
        <f t="shared" si="134"/>
        <v>2781.2638874575082</v>
      </c>
      <c r="BA277" s="250">
        <f t="shared" si="135"/>
        <v>163.7214920266664</v>
      </c>
      <c r="BB277" s="235">
        <f t="shared" si="136"/>
        <v>162.59694622803892</v>
      </c>
      <c r="BC277" s="247">
        <f t="shared" si="137"/>
        <v>192.06136552504705</v>
      </c>
      <c r="BD277" s="248">
        <f t="shared" si="138"/>
        <v>1.8412289347268638</v>
      </c>
      <c r="BE277" s="94">
        <f t="shared" si="139"/>
        <v>1.3700425653045852E-2</v>
      </c>
      <c r="BF277" s="249">
        <f t="shared" si="140"/>
        <v>1.8506652768373069</v>
      </c>
      <c r="BG277" s="247">
        <f t="shared" si="141"/>
        <v>193.06136552504705</v>
      </c>
      <c r="BH277" s="248">
        <f t="shared" si="142"/>
        <v>1.8319390648332399</v>
      </c>
      <c r="BI277" s="94">
        <f t="shared" si="143"/>
        <v>1.3662741192067068E-2</v>
      </c>
      <c r="BJ277" s="249">
        <f t="shared" si="144"/>
        <v>1.9134754499543187</v>
      </c>
      <c r="BK277" s="247">
        <f t="shared" si="145"/>
        <v>192.12047583655888</v>
      </c>
      <c r="BL277" s="248">
        <f t="shared" si="146"/>
        <v>1.8406798076235471</v>
      </c>
      <c r="BM277" s="136">
        <f t="shared" si="147"/>
        <v>1.3698204861267162E-2</v>
      </c>
      <c r="BN277" s="250">
        <f t="shared" si="148"/>
        <v>1.8543780057363655</v>
      </c>
      <c r="BO277" s="236">
        <f t="shared" si="149"/>
        <v>2781.2631495175387</v>
      </c>
      <c r="BP277" s="251">
        <f t="shared" si="150"/>
        <v>163.72113673120199</v>
      </c>
      <c r="BY277" s="254"/>
      <c r="BZ277" s="254"/>
      <c r="CA277" s="253"/>
      <c r="CB277" s="256"/>
      <c r="CC277" s="256"/>
      <c r="CD277" s="257"/>
      <c r="CE277" s="255"/>
      <c r="CF277" s="255"/>
      <c r="CG277" s="126"/>
      <c r="CH277" s="209"/>
      <c r="CI277" s="256"/>
      <c r="CJ277" s="208"/>
      <c r="CK277" s="208"/>
      <c r="CL277" s="254"/>
      <c r="CM277" s="209"/>
      <c r="CN277" s="254"/>
      <c r="CO277" s="28"/>
      <c r="CP277" s="28"/>
      <c r="CQ277" s="28"/>
      <c r="CR277" s="28"/>
      <c r="CS277" s="28"/>
      <c r="CT277" s="28"/>
      <c r="CU277" s="28"/>
      <c r="CV277" s="28"/>
    </row>
    <row r="278" spans="1:100" ht="12" customHeight="1" x14ac:dyDescent="0.2">
      <c r="A278" s="200" t="s">
        <v>442</v>
      </c>
      <c r="B278" s="118">
        <v>0</v>
      </c>
      <c r="C278" s="236">
        <f t="shared" si="151"/>
        <v>163.72113673120199</v>
      </c>
      <c r="D278" s="237">
        <f t="shared" si="152"/>
        <v>4.9932521222401025</v>
      </c>
      <c r="E278" s="238">
        <f t="shared" si="153"/>
        <v>2781.2631495175387</v>
      </c>
      <c r="F278" s="239">
        <f>G197-AB197/2</f>
        <v>404.48121639989665</v>
      </c>
      <c r="G278" s="154">
        <f t="shared" si="92"/>
        <v>0.18193548387096783</v>
      </c>
      <c r="H278" s="149">
        <f t="shared" si="93"/>
        <v>0.20545689339599268</v>
      </c>
      <c r="I278" s="240">
        <f t="shared" si="94"/>
        <v>404.48121639989665</v>
      </c>
      <c r="J278" s="154">
        <f t="shared" si="95"/>
        <v>0.50100099713994684</v>
      </c>
      <c r="K278" s="241">
        <f t="shared" si="96"/>
        <v>404.48121639989665</v>
      </c>
      <c r="L278" s="150">
        <f t="shared" si="97"/>
        <v>0.76991027901868203</v>
      </c>
      <c r="M278" s="150">
        <f t="shared" si="98"/>
        <v>4.2604710944744104</v>
      </c>
      <c r="N278" s="152">
        <f t="shared" si="99"/>
        <v>3.251770938248821E-5</v>
      </c>
      <c r="O278" s="152">
        <f t="shared" si="154"/>
        <v>498.0017145825305</v>
      </c>
      <c r="P278" s="153">
        <f t="shared" si="100"/>
        <v>0.12851361376064843</v>
      </c>
      <c r="Q278" s="154">
        <f t="shared" si="101"/>
        <v>0.93421009937071875</v>
      </c>
      <c r="R278" s="155">
        <f t="shared" si="102"/>
        <v>0.68373807656554686</v>
      </c>
      <c r="S278" s="154">
        <f t="shared" si="103"/>
        <v>5.0452970023926423E-2</v>
      </c>
      <c r="T278" s="148">
        <f t="shared" si="104"/>
        <v>0.38454366365336312</v>
      </c>
      <c r="U278" s="148">
        <f t="shared" si="105"/>
        <v>0.26041265115931711</v>
      </c>
      <c r="V278" s="154">
        <f t="shared" si="106"/>
        <v>5.8560000000000008</v>
      </c>
      <c r="W278" s="154">
        <f t="shared" si="107"/>
        <v>38.943343476236699</v>
      </c>
      <c r="X278" s="154">
        <f t="shared" si="108"/>
        <v>0.77688517324692441</v>
      </c>
      <c r="Y278" s="112"/>
      <c r="Z278" s="242">
        <f t="shared" si="109"/>
        <v>0.11691459788656122</v>
      </c>
      <c r="AA278" s="235">
        <f t="shared" si="110"/>
        <v>2.5767351754893348</v>
      </c>
      <c r="AB278" s="236">
        <f t="shared" si="111"/>
        <v>163.72113673120199</v>
      </c>
      <c r="AC278" s="243">
        <f t="shared" si="112"/>
        <v>0.29032612132595587</v>
      </c>
      <c r="AD278" s="243">
        <f t="shared" si="113"/>
        <v>18.083762424934516</v>
      </c>
      <c r="AE278" s="244">
        <f t="shared" si="114"/>
        <v>1.4613955788239936E-5</v>
      </c>
      <c r="AF278" s="244">
        <f t="shared" si="115"/>
        <v>14415.991208854133</v>
      </c>
      <c r="AG278" s="245">
        <f t="shared" si="116"/>
        <v>4.358091138007001E-2</v>
      </c>
      <c r="AH278" s="244">
        <f t="shared" si="117"/>
        <v>49.259059598799318</v>
      </c>
      <c r="AI278" s="246">
        <f t="shared" si="118"/>
        <v>1.047511195850451</v>
      </c>
      <c r="AJ278" s="235">
        <f t="shared" si="119"/>
        <v>3.2324590593954011E-2</v>
      </c>
      <c r="AK278" s="235">
        <f t="shared" si="120"/>
        <v>1.0752896739083733</v>
      </c>
      <c r="AL278" s="235">
        <f t="shared" si="121"/>
        <v>1.023134782413988</v>
      </c>
      <c r="AM278" s="235">
        <f t="shared" si="122"/>
        <v>50.909609004065359</v>
      </c>
      <c r="AN278" s="235">
        <f t="shared" si="123"/>
        <v>363.98130327229228</v>
      </c>
      <c r="AO278" s="235">
        <f t="shared" si="124"/>
        <v>5.1699062447733937</v>
      </c>
      <c r="AP278" s="247">
        <f t="shared" si="155"/>
        <v>192.12047583655888</v>
      </c>
      <c r="AQ278" s="248">
        <f t="shared" si="125"/>
        <v>2.0010466590966494</v>
      </c>
      <c r="AR278" s="94">
        <f t="shared" si="126"/>
        <v>1.5298482086698467E-2</v>
      </c>
      <c r="AS278" s="249">
        <f t="shared" si="127"/>
        <v>1.7808078110055303</v>
      </c>
      <c r="AT278" s="247">
        <f t="shared" si="128"/>
        <v>193.12047583655888</v>
      </c>
      <c r="AU278" s="248">
        <f t="shared" si="129"/>
        <v>1.9916237937695256</v>
      </c>
      <c r="AV278" s="94">
        <f t="shared" si="130"/>
        <v>1.5260783270009485E-2</v>
      </c>
      <c r="AW278" s="249">
        <f t="shared" si="131"/>
        <v>1.8435137706195561</v>
      </c>
      <c r="AX278" s="247">
        <f t="shared" si="132"/>
        <v>195.38427902275896</v>
      </c>
      <c r="AY278" s="249">
        <f t="shared" si="133"/>
        <v>1.985467721787521</v>
      </c>
      <c r="AZ278" s="238">
        <f t="shared" si="134"/>
        <v>2783.9171862714102</v>
      </c>
      <c r="BA278" s="250">
        <f t="shared" si="135"/>
        <v>164.99760238667272</v>
      </c>
      <c r="BB278" s="235">
        <f t="shared" si="136"/>
        <v>163.79727430735582</v>
      </c>
      <c r="BC278" s="247">
        <f t="shared" si="137"/>
        <v>195.38427902275896</v>
      </c>
      <c r="BD278" s="248">
        <f t="shared" si="138"/>
        <v>1.9702922812188479</v>
      </c>
      <c r="BE278" s="94">
        <f t="shared" si="139"/>
        <v>1.5174539688890218E-2</v>
      </c>
      <c r="BF278" s="249">
        <f t="shared" si="140"/>
        <v>1.9806934420121094</v>
      </c>
      <c r="BG278" s="247">
        <f t="shared" si="141"/>
        <v>196.38427902275896</v>
      </c>
      <c r="BH278" s="248">
        <f t="shared" si="142"/>
        <v>1.9608694158917237</v>
      </c>
      <c r="BI278" s="94">
        <f t="shared" si="143"/>
        <v>1.5136042544508132E-2</v>
      </c>
      <c r="BJ278" s="249">
        <f t="shared" si="144"/>
        <v>2.043399401626135</v>
      </c>
      <c r="BK278" s="247">
        <f t="shared" si="145"/>
        <v>195.45042224046034</v>
      </c>
      <c r="BL278" s="248">
        <f t="shared" si="146"/>
        <v>1.9696690225861451</v>
      </c>
      <c r="BM278" s="136">
        <f t="shared" si="147"/>
        <v>1.5172000966299847E-2</v>
      </c>
      <c r="BN278" s="250">
        <f t="shared" si="148"/>
        <v>1.9848410159500338</v>
      </c>
      <c r="BO278" s="236">
        <f t="shared" si="149"/>
        <v>2783.9163485392123</v>
      </c>
      <c r="BP278" s="251">
        <f t="shared" si="150"/>
        <v>164.99719904241391</v>
      </c>
      <c r="BY278" s="254"/>
      <c r="BZ278" s="254"/>
      <c r="CA278" s="253"/>
      <c r="CB278" s="256"/>
      <c r="CC278" s="256"/>
      <c r="CD278" s="257"/>
      <c r="CE278" s="255"/>
      <c r="CF278" s="255"/>
      <c r="CG278" s="126"/>
      <c r="CH278" s="209"/>
      <c r="CI278" s="256"/>
      <c r="CJ278" s="208"/>
      <c r="CK278" s="208"/>
      <c r="CL278" s="254"/>
      <c r="CM278" s="209"/>
      <c r="CN278" s="254"/>
      <c r="CO278" s="28"/>
      <c r="CP278" s="28"/>
      <c r="CQ278" s="28"/>
      <c r="CR278" s="28"/>
      <c r="CS278" s="28"/>
      <c r="CT278" s="28"/>
      <c r="CU278" s="28"/>
      <c r="CV278" s="28"/>
    </row>
    <row r="279" spans="1:100" ht="12" customHeight="1" x14ac:dyDescent="0.2">
      <c r="A279" s="200" t="s">
        <v>442</v>
      </c>
      <c r="B279" s="118">
        <v>0</v>
      </c>
      <c r="C279" s="236">
        <f t="shared" si="151"/>
        <v>164.99719904241391</v>
      </c>
      <c r="D279" s="237">
        <f t="shared" si="152"/>
        <v>4.9927595316441149</v>
      </c>
      <c r="E279" s="238">
        <f t="shared" si="153"/>
        <v>2783.9163485392123</v>
      </c>
      <c r="F279" s="239">
        <f>G196-AB196/2</f>
        <v>420.2559529256111</v>
      </c>
      <c r="G279" s="154">
        <f t="shared" si="92"/>
        <v>0.19406451612903236</v>
      </c>
      <c r="H279" s="149">
        <f t="shared" si="93"/>
        <v>0.20853543306616915</v>
      </c>
      <c r="I279" s="240">
        <f t="shared" si="94"/>
        <v>420.2559529256111</v>
      </c>
      <c r="J279" s="154">
        <f t="shared" si="95"/>
        <v>0.48927563142158176</v>
      </c>
      <c r="K279" s="241">
        <f t="shared" si="96"/>
        <v>420.2559529256111</v>
      </c>
      <c r="L279" s="150">
        <f t="shared" si="97"/>
        <v>0.78836098249147368</v>
      </c>
      <c r="M279" s="150">
        <f t="shared" si="98"/>
        <v>4.3625721976298859</v>
      </c>
      <c r="N279" s="152">
        <f t="shared" si="99"/>
        <v>3.3004950558301747E-5</v>
      </c>
      <c r="O279" s="152">
        <f t="shared" si="154"/>
        <v>490.64987987695429</v>
      </c>
      <c r="P279" s="153">
        <f t="shared" si="100"/>
        <v>0.13043924522319253</v>
      </c>
      <c r="Q279" s="154">
        <f t="shared" si="101"/>
        <v>0.97093175064212167</v>
      </c>
      <c r="R279" s="155">
        <f t="shared" si="102"/>
        <v>0.68428818978108996</v>
      </c>
      <c r="S279" s="154">
        <f t="shared" si="103"/>
        <v>5.1242795307032421E-2</v>
      </c>
      <c r="T279" s="148">
        <f t="shared" si="104"/>
        <v>0.39695676490276771</v>
      </c>
      <c r="U279" s="148">
        <f t="shared" si="105"/>
        <v>0.26925688889073751</v>
      </c>
      <c r="V279" s="154">
        <f t="shared" si="106"/>
        <v>5.8560000000000008</v>
      </c>
      <c r="W279" s="154">
        <f t="shared" si="107"/>
        <v>39.552989197224505</v>
      </c>
      <c r="X279" s="154">
        <f t="shared" si="108"/>
        <v>0.78904706483843268</v>
      </c>
      <c r="Y279" s="112"/>
      <c r="Z279" s="242">
        <f t="shared" si="109"/>
        <v>0.11695019319224469</v>
      </c>
      <c r="AA279" s="235">
        <f t="shared" si="110"/>
        <v>2.5677001136015933</v>
      </c>
      <c r="AB279" s="236">
        <f t="shared" si="111"/>
        <v>164.99719904241391</v>
      </c>
      <c r="AC279" s="243">
        <f t="shared" si="112"/>
        <v>0.29134770264688697</v>
      </c>
      <c r="AD279" s="243">
        <f t="shared" si="113"/>
        <v>18.147394432351195</v>
      </c>
      <c r="AE279" s="244">
        <f t="shared" si="114"/>
        <v>1.466688270171771E-5</v>
      </c>
      <c r="AF279" s="244">
        <f t="shared" si="115"/>
        <v>14363.969662427093</v>
      </c>
      <c r="AG279" s="245">
        <f t="shared" si="116"/>
        <v>4.3594179833202296E-2</v>
      </c>
      <c r="AH279" s="244">
        <f t="shared" si="117"/>
        <v>49.447439252284859</v>
      </c>
      <c r="AI279" s="246">
        <f t="shared" si="118"/>
        <v>1.0460478596499929</v>
      </c>
      <c r="AJ279" s="235">
        <f t="shared" si="119"/>
        <v>3.2419425093824339E-2</v>
      </c>
      <c r="AK279" s="235">
        <f t="shared" si="120"/>
        <v>1.0719640024425086</v>
      </c>
      <c r="AL279" s="235">
        <f t="shared" si="121"/>
        <v>1.0220789304545392</v>
      </c>
      <c r="AM279" s="235">
        <f t="shared" si="122"/>
        <v>50.681852088621042</v>
      </c>
      <c r="AN279" s="235">
        <f t="shared" si="123"/>
        <v>363.41601950883273</v>
      </c>
      <c r="AO279" s="235">
        <f t="shared" si="124"/>
        <v>5.1618770849442903</v>
      </c>
      <c r="AP279" s="247">
        <f t="shared" si="155"/>
        <v>195.45042224046034</v>
      </c>
      <c r="AQ279" s="248">
        <f t="shared" si="125"/>
        <v>2.1514737483583315</v>
      </c>
      <c r="AR279" s="94">
        <f t="shared" si="126"/>
        <v>1.7068808281847966E-2</v>
      </c>
      <c r="AS279" s="249">
        <f t="shared" si="127"/>
        <v>1.9066328682499158</v>
      </c>
      <c r="AT279" s="247">
        <f t="shared" si="128"/>
        <v>196.45042224046034</v>
      </c>
      <c r="AU279" s="248">
        <f t="shared" si="129"/>
        <v>2.1419033710557747</v>
      </c>
      <c r="AV279" s="94">
        <f t="shared" si="130"/>
        <v>1.7030294843366899E-2</v>
      </c>
      <c r="AW279" s="249">
        <f t="shared" si="131"/>
        <v>1.9692414419253692</v>
      </c>
      <c r="AX279" s="247">
        <f t="shared" si="132"/>
        <v>199.07710299568296</v>
      </c>
      <c r="AY279" s="249">
        <f t="shared" si="133"/>
        <v>2.1336941775106202</v>
      </c>
      <c r="AZ279" s="238">
        <f t="shared" si="134"/>
        <v>2786.7685242288458</v>
      </c>
      <c r="BA279" s="250">
        <f t="shared" si="135"/>
        <v>166.36907051436049</v>
      </c>
      <c r="BB279" s="235">
        <f t="shared" si="136"/>
        <v>165.08317241085814</v>
      </c>
      <c r="BC279" s="247">
        <f t="shared" si="137"/>
        <v>199.07710299568296</v>
      </c>
      <c r="BD279" s="248">
        <f t="shared" si="138"/>
        <v>2.1167650451749305</v>
      </c>
      <c r="BE279" s="94">
        <f t="shared" si="139"/>
        <v>1.69279535844408E-2</v>
      </c>
      <c r="BF279" s="249">
        <f t="shared" si="140"/>
        <v>2.1283115075382528</v>
      </c>
      <c r="BG279" s="247">
        <f t="shared" si="141"/>
        <v>200.07710299568296</v>
      </c>
      <c r="BH279" s="248">
        <f t="shared" si="142"/>
        <v>2.1071946678723741</v>
      </c>
      <c r="BI279" s="94">
        <f t="shared" si="143"/>
        <v>1.6888539674502892E-2</v>
      </c>
      <c r="BJ279" s="249">
        <f t="shared" si="144"/>
        <v>2.1909200812137062</v>
      </c>
      <c r="BK279" s="247">
        <f t="shared" si="145"/>
        <v>199.15161993094546</v>
      </c>
      <c r="BL279" s="248">
        <f t="shared" si="146"/>
        <v>2.1160518899890381</v>
      </c>
      <c r="BM279" s="136">
        <f t="shared" si="147"/>
        <v>1.6925025203111108E-2</v>
      </c>
      <c r="BN279" s="250">
        <f t="shared" si="148"/>
        <v>2.1329769065697035</v>
      </c>
      <c r="BO279" s="236">
        <f t="shared" si="149"/>
        <v>2786.7675654361256</v>
      </c>
      <c r="BP279" s="251">
        <f t="shared" si="150"/>
        <v>166.36860888071993</v>
      </c>
      <c r="BY279" s="254"/>
      <c r="BZ279" s="254"/>
      <c r="CA279" s="253"/>
      <c r="CB279" s="256"/>
      <c r="CC279" s="256"/>
      <c r="CD279" s="257"/>
      <c r="CE279" s="255"/>
      <c r="CF279" s="255"/>
      <c r="CG279" s="126"/>
      <c r="CH279" s="209"/>
      <c r="CI279" s="256"/>
      <c r="CJ279" s="208"/>
      <c r="CK279" s="208"/>
      <c r="CL279" s="254"/>
      <c r="CM279" s="209"/>
      <c r="CN279" s="254"/>
      <c r="CO279" s="28"/>
      <c r="CP279" s="28"/>
      <c r="CQ279" s="28"/>
      <c r="CR279" s="28"/>
      <c r="CS279" s="28"/>
      <c r="CT279" s="28"/>
      <c r="CU279" s="28"/>
      <c r="CV279" s="28"/>
    </row>
    <row r="280" spans="1:100" ht="12" customHeight="1" x14ac:dyDescent="0.2">
      <c r="A280" s="200" t="s">
        <v>442</v>
      </c>
      <c r="B280" s="118">
        <v>0</v>
      </c>
      <c r="C280" s="236">
        <f t="shared" si="151"/>
        <v>166.36860888071993</v>
      </c>
      <c r="D280" s="237">
        <f t="shared" si="152"/>
        <v>4.9922650572515916</v>
      </c>
      <c r="E280" s="238">
        <f t="shared" si="153"/>
        <v>2786.7675654361256</v>
      </c>
      <c r="F280" s="239">
        <f>G195-AB195/2</f>
        <v>437.87428167905995</v>
      </c>
      <c r="G280" s="154">
        <f t="shared" si="92"/>
        <v>0.20619354838709689</v>
      </c>
      <c r="H280" s="149">
        <f t="shared" si="93"/>
        <v>0.21194099609933173</v>
      </c>
      <c r="I280" s="240">
        <f t="shared" si="94"/>
        <v>437.87428167905995</v>
      </c>
      <c r="J280" s="154">
        <f t="shared" si="95"/>
        <v>0.4769945006334444</v>
      </c>
      <c r="K280" s="241">
        <f t="shared" si="96"/>
        <v>437.87428167905995</v>
      </c>
      <c r="L280" s="150">
        <f t="shared" si="97"/>
        <v>0.80865883565620555</v>
      </c>
      <c r="M280" s="150">
        <f t="shared" si="98"/>
        <v>4.4748949176206496</v>
      </c>
      <c r="N280" s="152">
        <f t="shared" si="99"/>
        <v>3.3543949796369105E-5</v>
      </c>
      <c r="O280" s="152">
        <f t="shared" si="154"/>
        <v>482.76589742954002</v>
      </c>
      <c r="P280" s="153">
        <f t="shared" si="100"/>
        <v>0.13256943031967339</v>
      </c>
      <c r="Q280" s="154">
        <f t="shared" si="101"/>
        <v>1.0121946331146019</v>
      </c>
      <c r="R280" s="155">
        <f t="shared" si="102"/>
        <v>0.68495978099498789</v>
      </c>
      <c r="S280" s="154">
        <f t="shared" si="103"/>
        <v>5.2124927409388851E-2</v>
      </c>
      <c r="T280" s="148">
        <f t="shared" si="104"/>
        <v>0.41114564001521553</v>
      </c>
      <c r="U280" s="148">
        <f t="shared" si="105"/>
        <v>0.2794413155878534</v>
      </c>
      <c r="V280" s="154">
        <f t="shared" si="106"/>
        <v>5.8560000000000008</v>
      </c>
      <c r="W280" s="154">
        <f t="shared" si="107"/>
        <v>40.233884166087385</v>
      </c>
      <c r="X280" s="154">
        <f t="shared" si="108"/>
        <v>0.80263031575192401</v>
      </c>
      <c r="Y280" s="112"/>
      <c r="Z280" s="242">
        <f t="shared" si="109"/>
        <v>0.11698841932774615</v>
      </c>
      <c r="AA280" s="235">
        <f t="shared" si="110"/>
        <v>2.5580893614788169</v>
      </c>
      <c r="AB280" s="236">
        <f t="shared" si="111"/>
        <v>166.36860888071993</v>
      </c>
      <c r="AC280" s="243">
        <f t="shared" si="112"/>
        <v>0.29244229714927011</v>
      </c>
      <c r="AD280" s="243">
        <f t="shared" si="113"/>
        <v>18.215574266953514</v>
      </c>
      <c r="AE280" s="244">
        <f t="shared" si="114"/>
        <v>1.4723765256490489E-5</v>
      </c>
      <c r="AF280" s="244">
        <f t="shared" si="115"/>
        <v>14308.477111653276</v>
      </c>
      <c r="AG280" s="245">
        <f t="shared" si="116"/>
        <v>4.3608428950539277E-2</v>
      </c>
      <c r="AH280" s="244">
        <f t="shared" si="117"/>
        <v>49.649436507733682</v>
      </c>
      <c r="AI280" s="246">
        <f t="shared" si="118"/>
        <v>1.04448613168094</v>
      </c>
      <c r="AJ280" s="235">
        <f t="shared" si="119"/>
        <v>3.2521691716976026E-2</v>
      </c>
      <c r="AK280" s="235">
        <f t="shared" si="120"/>
        <v>1.0689739427965637</v>
      </c>
      <c r="AL280" s="235">
        <f t="shared" si="121"/>
        <v>1.0211329884614444</v>
      </c>
      <c r="AM280" s="235">
        <f t="shared" si="122"/>
        <v>50.448231267647763</v>
      </c>
      <c r="AN280" s="235">
        <f t="shared" si="123"/>
        <v>362.88193951896653</v>
      </c>
      <c r="AO280" s="235">
        <f t="shared" si="124"/>
        <v>5.1542911362980428</v>
      </c>
      <c r="AP280" s="247">
        <f t="shared" si="155"/>
        <v>199.15161993094546</v>
      </c>
      <c r="AQ280" s="248">
        <f t="shared" si="125"/>
        <v>2.3239959052060297</v>
      </c>
      <c r="AR280" s="94">
        <f t="shared" si="126"/>
        <v>1.9202199494134563E-2</v>
      </c>
      <c r="AS280" s="249">
        <f t="shared" si="127"/>
        <v>2.0494811907186845</v>
      </c>
      <c r="AT280" s="247">
        <f t="shared" si="128"/>
        <v>200.15161993094546</v>
      </c>
      <c r="AU280" s="248">
        <f t="shared" si="129"/>
        <v>2.3142607762149741</v>
      </c>
      <c r="AV280" s="94">
        <f t="shared" si="130"/>
        <v>1.9162766936669927E-2</v>
      </c>
      <c r="AW280" s="249">
        <f t="shared" si="131"/>
        <v>2.1119977541782995</v>
      </c>
      <c r="AX280" s="247">
        <f t="shared" si="132"/>
        <v>203.21459327585364</v>
      </c>
      <c r="AY280" s="249">
        <f t="shared" si="133"/>
        <v>2.3034843216703615</v>
      </c>
      <c r="AZ280" s="238">
        <f t="shared" si="134"/>
        <v>2789.8467049177661</v>
      </c>
      <c r="BA280" s="250">
        <f t="shared" si="135"/>
        <v>167.84976573794484</v>
      </c>
      <c r="BB280" s="235">
        <f t="shared" si="136"/>
        <v>166.46646907440149</v>
      </c>
      <c r="BC280" s="247">
        <f t="shared" si="137"/>
        <v>203.21459327585364</v>
      </c>
      <c r="BD280" s="248">
        <f t="shared" si="138"/>
        <v>2.2844423356061281</v>
      </c>
      <c r="BE280" s="94">
        <f t="shared" si="139"/>
        <v>1.9040420852783395E-2</v>
      </c>
      <c r="BF280" s="249">
        <f t="shared" si="140"/>
        <v>2.2973664386618986</v>
      </c>
      <c r="BG280" s="247">
        <f t="shared" si="141"/>
        <v>204.21459327585364</v>
      </c>
      <c r="BH280" s="248">
        <f t="shared" si="142"/>
        <v>2.274707206615072</v>
      </c>
      <c r="BI280" s="94">
        <f t="shared" si="143"/>
        <v>1.8999962627808648E-2</v>
      </c>
      <c r="BJ280" s="249">
        <f t="shared" si="144"/>
        <v>2.3598830021215136</v>
      </c>
      <c r="BK280" s="247">
        <f t="shared" si="145"/>
        <v>203.29919883454639</v>
      </c>
      <c r="BL280" s="248">
        <f t="shared" si="146"/>
        <v>2.2836186895788937</v>
      </c>
      <c r="BM280" s="136">
        <f t="shared" si="147"/>
        <v>1.9037007715636947E-2</v>
      </c>
      <c r="BN280" s="250">
        <f t="shared" si="148"/>
        <v>2.3026556874409496</v>
      </c>
      <c r="BO280" s="236">
        <f t="shared" si="149"/>
        <v>2789.8455972630809</v>
      </c>
      <c r="BP280" s="251">
        <f t="shared" si="150"/>
        <v>167.84923242863132</v>
      </c>
      <c r="BY280" s="254"/>
      <c r="BZ280" s="254"/>
      <c r="CA280" s="253"/>
      <c r="CB280" s="256"/>
      <c r="CC280" s="256"/>
      <c r="CD280" s="257"/>
      <c r="CE280" s="255"/>
      <c r="CF280" s="255"/>
      <c r="CG280" s="126"/>
      <c r="CH280" s="209"/>
      <c r="CI280" s="256"/>
      <c r="CJ280" s="208"/>
      <c r="CK280" s="208"/>
      <c r="CL280" s="254"/>
      <c r="CM280" s="209"/>
      <c r="CN280" s="254"/>
      <c r="CO280" s="28"/>
      <c r="CP280" s="28"/>
      <c r="CQ280" s="28"/>
      <c r="CR280" s="28"/>
      <c r="CS280" s="28"/>
      <c r="CT280" s="28"/>
      <c r="CU280" s="28"/>
      <c r="CV280" s="28"/>
    </row>
    <row r="281" spans="1:100" ht="12" customHeight="1" x14ac:dyDescent="0.2">
      <c r="A281" s="200" t="s">
        <v>442</v>
      </c>
      <c r="B281" s="118">
        <v>0</v>
      </c>
      <c r="C281" s="236">
        <f t="shared" si="151"/>
        <v>167.84923242863132</v>
      </c>
      <c r="D281" s="237">
        <f t="shared" si="152"/>
        <v>4.9917685628865147</v>
      </c>
      <c r="E281" s="238">
        <f t="shared" si="153"/>
        <v>2789.8455972630809</v>
      </c>
      <c r="F281" s="239">
        <f>G194-AB194/2</f>
        <v>457.71415390706727</v>
      </c>
      <c r="G281" s="154">
        <f t="shared" si="92"/>
        <v>0.21832258064516141</v>
      </c>
      <c r="H281" s="149">
        <f t="shared" si="93"/>
        <v>0.2157345874669202</v>
      </c>
      <c r="I281" s="240">
        <f t="shared" si="94"/>
        <v>457.71415390706727</v>
      </c>
      <c r="J281" s="154">
        <f t="shared" si="95"/>
        <v>0.46408846719378877</v>
      </c>
      <c r="K281" s="241">
        <f t="shared" si="96"/>
        <v>457.71415390706727</v>
      </c>
      <c r="L281" s="150">
        <f t="shared" si="97"/>
        <v>0.83114717292810336</v>
      </c>
      <c r="M281" s="150">
        <f t="shared" si="98"/>
        <v>4.5993391723873627</v>
      </c>
      <c r="N281" s="152">
        <f t="shared" si="99"/>
        <v>3.4144362367435283E-5</v>
      </c>
      <c r="O281" s="152">
        <f t="shared" si="154"/>
        <v>474.27668592869242</v>
      </c>
      <c r="P281" s="153">
        <f t="shared" si="100"/>
        <v>0.13494232775680315</v>
      </c>
      <c r="Q281" s="154">
        <f t="shared" si="101"/>
        <v>1.0589645784953943</v>
      </c>
      <c r="R281" s="155">
        <f t="shared" si="102"/>
        <v>0.68578352680250221</v>
      </c>
      <c r="S281" s="154">
        <f t="shared" si="103"/>
        <v>5.3118289971972946E-2</v>
      </c>
      <c r="T281" s="148">
        <f t="shared" si="104"/>
        <v>0.42760868056863582</v>
      </c>
      <c r="U281" s="148">
        <f t="shared" si="105"/>
        <v>0.29136781092426378</v>
      </c>
      <c r="V281" s="154">
        <f t="shared" si="106"/>
        <v>5.9631042088139941</v>
      </c>
      <c r="W281" s="154">
        <f t="shared" si="107"/>
        <v>41.750522445973026</v>
      </c>
      <c r="X281" s="154">
        <f t="shared" si="108"/>
        <v>0.83288590470875923</v>
      </c>
      <c r="Y281" s="112"/>
      <c r="Z281" s="242">
        <f t="shared" si="109"/>
        <v>0.11702965619863931</v>
      </c>
      <c r="AA281" s="235">
        <f t="shared" si="110"/>
        <v>2.5478254537273406</v>
      </c>
      <c r="AB281" s="236">
        <f t="shared" si="111"/>
        <v>167.84923242863132</v>
      </c>
      <c r="AC281" s="243">
        <f t="shared" si="112"/>
        <v>0.29362040012966806</v>
      </c>
      <c r="AD281" s="243">
        <f t="shared" si="113"/>
        <v>18.28895565720639</v>
      </c>
      <c r="AE281" s="244">
        <f t="shared" si="114"/>
        <v>1.4785178803871926E-5</v>
      </c>
      <c r="AF281" s="244">
        <f t="shared" si="115"/>
        <v>14249.043651381386</v>
      </c>
      <c r="AG281" s="245">
        <f t="shared" si="116"/>
        <v>4.3623800345116794E-2</v>
      </c>
      <c r="AH281" s="244">
        <f t="shared" si="117"/>
        <v>49.867020396229314</v>
      </c>
      <c r="AI281" s="246">
        <f t="shared" si="118"/>
        <v>1.042812667583936</v>
      </c>
      <c r="AJ281" s="235">
        <f t="shared" si="119"/>
        <v>3.2632502603968751E-2</v>
      </c>
      <c r="AK281" s="235">
        <f t="shared" si="120"/>
        <v>1.0662687141660867</v>
      </c>
      <c r="AL281" s="235">
        <f t="shared" si="121"/>
        <v>1.0202798274479792</v>
      </c>
      <c r="AM281" s="235">
        <f t="shared" si="122"/>
        <v>50.206301390623565</v>
      </c>
      <c r="AN281" s="235">
        <f t="shared" si="123"/>
        <v>362.37221553241693</v>
      </c>
      <c r="AO281" s="235">
        <f t="shared" si="124"/>
        <v>5.1470511346894927</v>
      </c>
      <c r="AP281" s="247">
        <f t="shared" si="155"/>
        <v>203.29919883454639</v>
      </c>
      <c r="AQ281" s="248">
        <f t="shared" si="125"/>
        <v>2.5701253190373441</v>
      </c>
      <c r="AR281" s="94">
        <f t="shared" si="126"/>
        <v>2.1812154828421599E-2</v>
      </c>
      <c r="AS281" s="249">
        <f t="shared" si="127"/>
        <v>2.2130970635537222</v>
      </c>
      <c r="AT281" s="247">
        <f t="shared" si="128"/>
        <v>204.29919883454639</v>
      </c>
      <c r="AU281" s="248">
        <f t="shared" si="129"/>
        <v>2.5600232190318444</v>
      </c>
      <c r="AV281" s="94">
        <f t="shared" si="130"/>
        <v>2.1771675058506954E-2</v>
      </c>
      <c r="AW281" s="249">
        <f t="shared" si="131"/>
        <v>2.2755258128002787</v>
      </c>
      <c r="AX281" s="247">
        <f t="shared" si="132"/>
        <v>208.51944786977282</v>
      </c>
      <c r="AY281" s="249">
        <f t="shared" si="133"/>
        <v>2.5389906815784515</v>
      </c>
      <c r="AZ281" s="238">
        <f t="shared" si="134"/>
        <v>2793.2395454560938</v>
      </c>
      <c r="BA281" s="250">
        <f t="shared" si="135"/>
        <v>169.48197136430682</v>
      </c>
      <c r="BB281" s="235">
        <f t="shared" si="136"/>
        <v>167.97422021935415</v>
      </c>
      <c r="BC281" s="247">
        <f t="shared" si="137"/>
        <v>208.51944786977282</v>
      </c>
      <c r="BD281" s="248">
        <f t="shared" si="138"/>
        <v>2.517389841229873</v>
      </c>
      <c r="BE281" s="94">
        <f t="shared" si="139"/>
        <v>2.1598016206020421E-2</v>
      </c>
      <c r="BF281" s="249">
        <f t="shared" si="140"/>
        <v>2.5311878501325351</v>
      </c>
      <c r="BG281" s="247">
        <f t="shared" si="141"/>
        <v>209.51944786977282</v>
      </c>
      <c r="BH281" s="248">
        <f t="shared" si="142"/>
        <v>2.5072877412243728</v>
      </c>
      <c r="BI281" s="94">
        <f t="shared" si="143"/>
        <v>2.1556192245414947E-2</v>
      </c>
      <c r="BJ281" s="249">
        <f t="shared" si="144"/>
        <v>2.5936165993790916</v>
      </c>
      <c r="BK281" s="247">
        <f t="shared" si="145"/>
        <v>208.62692644205168</v>
      </c>
      <c r="BL281" s="248">
        <f t="shared" si="146"/>
        <v>2.5163040819442632</v>
      </c>
      <c r="BM281" s="136">
        <f t="shared" si="147"/>
        <v>2.1593533504770349E-2</v>
      </c>
      <c r="BN281" s="250">
        <f t="shared" si="148"/>
        <v>2.5378976029707103</v>
      </c>
      <c r="BO281" s="236">
        <f t="shared" si="149"/>
        <v>2793.2380843120977</v>
      </c>
      <c r="BP281" s="251">
        <f t="shared" si="150"/>
        <v>169.48126785497419</v>
      </c>
      <c r="BY281" s="254"/>
      <c r="BZ281" s="254"/>
      <c r="CA281" s="253"/>
      <c r="CB281" s="256"/>
      <c r="CC281" s="256"/>
      <c r="CD281" s="257"/>
      <c r="CE281" s="255"/>
      <c r="CF281" s="255"/>
      <c r="CG281" s="126"/>
      <c r="CH281" s="209"/>
      <c r="CI281" s="256"/>
      <c r="CJ281" s="208"/>
      <c r="CK281" s="208"/>
      <c r="CL281" s="254"/>
      <c r="CM281" s="209"/>
      <c r="CN281" s="254"/>
      <c r="CO281" s="28"/>
      <c r="CP281" s="28"/>
      <c r="CQ281" s="28"/>
      <c r="CR281" s="28"/>
      <c r="CS281" s="28"/>
      <c r="CT281" s="28"/>
      <c r="CU281" s="28"/>
      <c r="CV281" s="28"/>
    </row>
    <row r="282" spans="1:100" ht="12" customHeight="1" x14ac:dyDescent="0.2">
      <c r="A282" s="200" t="s">
        <v>442</v>
      </c>
      <c r="B282" s="118">
        <v>0</v>
      </c>
      <c r="C282" s="236">
        <f t="shared" si="151"/>
        <v>169.48126785497419</v>
      </c>
      <c r="D282" s="237">
        <f t="shared" si="152"/>
        <v>4.9912698926825527</v>
      </c>
      <c r="E282" s="238">
        <f t="shared" si="153"/>
        <v>2793.2380843120977</v>
      </c>
      <c r="F282" s="239">
        <f>G193-AB193/2</f>
        <v>480.27871792796441</v>
      </c>
      <c r="G282" s="154">
        <f t="shared" si="92"/>
        <v>0.23045161290322594</v>
      </c>
      <c r="H282" s="149">
        <f t="shared" si="93"/>
        <v>0.21999588015507543</v>
      </c>
      <c r="I282" s="240">
        <f t="shared" si="94"/>
        <v>480.27871792796441</v>
      </c>
      <c r="J282" s="154">
        <f t="shared" si="95"/>
        <v>0.45046836263743756</v>
      </c>
      <c r="K282" s="241">
        <f t="shared" si="96"/>
        <v>480.27871792796441</v>
      </c>
      <c r="L282" s="150">
        <f t="shared" si="97"/>
        <v>0.85627726492994216</v>
      </c>
      <c r="M282" s="150">
        <f t="shared" si="98"/>
        <v>4.7384021690676796</v>
      </c>
      <c r="N282" s="152">
        <f t="shared" si="99"/>
        <v>3.4818798133190199E-5</v>
      </c>
      <c r="O282" s="152">
        <f t="shared" si="154"/>
        <v>465.09000583047515</v>
      </c>
      <c r="P282" s="153">
        <f t="shared" si="100"/>
        <v>0.13760777311419575</v>
      </c>
      <c r="Q282" s="154">
        <f t="shared" si="101"/>
        <v>1.1125324419493994</v>
      </c>
      <c r="R282" s="155">
        <f t="shared" si="102"/>
        <v>0.68680035491927816</v>
      </c>
      <c r="S282" s="154">
        <f t="shared" si="103"/>
        <v>5.4248075127935252E-2</v>
      </c>
      <c r="T282" s="148">
        <f t="shared" si="104"/>
        <v>0.4470716619464033</v>
      </c>
      <c r="U282" s="148">
        <f t="shared" si="105"/>
        <v>0.30563639594972347</v>
      </c>
      <c r="V282" s="154">
        <f t="shared" si="106"/>
        <v>6.2175433443495116</v>
      </c>
      <c r="W282" s="154">
        <f t="shared" si="107"/>
        <v>44.457863121716926</v>
      </c>
      <c r="X282" s="154">
        <f t="shared" si="108"/>
        <v>0.88689495072703906</v>
      </c>
      <c r="Y282" s="112"/>
      <c r="Z282" s="242">
        <f t="shared" si="109"/>
        <v>0.1170750699619855</v>
      </c>
      <c r="AA282" s="235">
        <f t="shared" si="110"/>
        <v>2.5366467315500651</v>
      </c>
      <c r="AB282" s="236">
        <f t="shared" si="111"/>
        <v>169.48126785497419</v>
      </c>
      <c r="AC282" s="243">
        <f t="shared" si="112"/>
        <v>0.29491435282627565</v>
      </c>
      <c r="AD282" s="243">
        <f t="shared" si="113"/>
        <v>18.369553066243117</v>
      </c>
      <c r="AE282" s="244">
        <f t="shared" si="114"/>
        <v>1.4852873947751725E-5</v>
      </c>
      <c r="AF282" s="244">
        <f t="shared" si="115"/>
        <v>14184.100592985889</v>
      </c>
      <c r="AG282" s="245">
        <f t="shared" si="116"/>
        <v>4.3640728711904192E-2</v>
      </c>
      <c r="AH282" s="244">
        <f t="shared" si="117"/>
        <v>50.106215199289956</v>
      </c>
      <c r="AI282" s="246">
        <f t="shared" si="118"/>
        <v>1.0409832927741447</v>
      </c>
      <c r="AJ282" s="235">
        <f t="shared" si="119"/>
        <v>3.2755127841403095E-2</v>
      </c>
      <c r="AK282" s="235">
        <f t="shared" si="120"/>
        <v>1.0638075070038795</v>
      </c>
      <c r="AL282" s="235">
        <f t="shared" si="121"/>
        <v>1.0195057780841499</v>
      </c>
      <c r="AM282" s="235">
        <f t="shared" si="122"/>
        <v>49.950112804212203</v>
      </c>
      <c r="AN282" s="235">
        <f t="shared" si="123"/>
        <v>361.87789316873318</v>
      </c>
      <c r="AO282" s="235">
        <f t="shared" si="124"/>
        <v>5.1400298941698175</v>
      </c>
      <c r="AP282" s="247">
        <f t="shared" si="155"/>
        <v>208.62692644205168</v>
      </c>
      <c r="AQ282" s="248">
        <f t="shared" si="125"/>
        <v>2.9222065302106066</v>
      </c>
      <c r="AR282" s="94">
        <f t="shared" si="126"/>
        <v>2.5036745867693489E-2</v>
      </c>
      <c r="AS282" s="249">
        <f t="shared" si="127"/>
        <v>2.4404808263570485</v>
      </c>
      <c r="AT282" s="247">
        <f t="shared" si="128"/>
        <v>209.62692644205168</v>
      </c>
      <c r="AU282" s="248">
        <f t="shared" si="129"/>
        <v>2.9114493527437237</v>
      </c>
      <c r="AV282" s="94">
        <f t="shared" si="130"/>
        <v>2.4994893923702136E-2</v>
      </c>
      <c r="AW282" s="249">
        <f t="shared" si="131"/>
        <v>2.50282441475085</v>
      </c>
      <c r="AX282" s="247">
        <f t="shared" si="132"/>
        <v>215.55534198050751</v>
      </c>
      <c r="AY282" s="249">
        <f t="shared" si="133"/>
        <v>2.8724231129077582</v>
      </c>
      <c r="AZ282" s="238">
        <f t="shared" si="134"/>
        <v>2797.0777420565523</v>
      </c>
      <c r="BA282" s="250">
        <f t="shared" si="135"/>
        <v>171.32861693361414</v>
      </c>
      <c r="BB282" s="235">
        <f t="shared" si="136"/>
        <v>169.65141857648416</v>
      </c>
      <c r="BC282" s="247">
        <f t="shared" si="137"/>
        <v>215.55534198050751</v>
      </c>
      <c r="BD282" s="248">
        <f t="shared" si="138"/>
        <v>2.8476763346991292</v>
      </c>
      <c r="BE282" s="94">
        <f t="shared" si="139"/>
        <v>2.4741382185423804E-2</v>
      </c>
      <c r="BF282" s="249">
        <f t="shared" si="140"/>
        <v>2.8618153063610321</v>
      </c>
      <c r="BG282" s="247">
        <f t="shared" si="141"/>
        <v>216.55534198050751</v>
      </c>
      <c r="BH282" s="248">
        <f t="shared" si="142"/>
        <v>2.8369191572322463</v>
      </c>
      <c r="BI282" s="94">
        <f t="shared" si="143"/>
        <v>2.4697699886948844E-2</v>
      </c>
      <c r="BJ282" s="249">
        <f t="shared" si="144"/>
        <v>2.924158894754834</v>
      </c>
      <c r="BK282" s="247">
        <f t="shared" si="145"/>
        <v>215.70029365886936</v>
      </c>
      <c r="BL282" s="248">
        <f t="shared" si="146"/>
        <v>2.8461170637708681</v>
      </c>
      <c r="BM282" s="136">
        <f t="shared" si="147"/>
        <v>2.4735066960421374E-2</v>
      </c>
      <c r="BN282" s="250">
        <f t="shared" si="148"/>
        <v>2.8708521141338141</v>
      </c>
      <c r="BO282" s="236">
        <f t="shared" si="149"/>
        <v>2797.0756420644875</v>
      </c>
      <c r="BP282" s="251">
        <f t="shared" si="150"/>
        <v>171.32760582787859</v>
      </c>
      <c r="BY282" s="254"/>
      <c r="BZ282" s="254"/>
      <c r="CA282" s="253"/>
      <c r="CB282" s="256"/>
      <c r="CC282" s="256"/>
      <c r="CD282" s="257"/>
      <c r="CE282" s="255"/>
      <c r="CF282" s="255"/>
      <c r="CG282" s="126"/>
      <c r="CH282" s="209"/>
      <c r="CI282" s="256"/>
      <c r="CJ282" s="208"/>
      <c r="CK282" s="208"/>
      <c r="CL282" s="254"/>
      <c r="CM282" s="209"/>
      <c r="CN282" s="254"/>
      <c r="CO282" s="28"/>
      <c r="CP282" s="28"/>
      <c r="CQ282" s="28"/>
      <c r="CR282" s="28"/>
      <c r="CS282" s="28"/>
      <c r="CT282" s="28"/>
      <c r="CU282" s="28"/>
      <c r="CV282" s="28"/>
    </row>
    <row r="283" spans="1:100" ht="12" customHeight="1" x14ac:dyDescent="0.2">
      <c r="A283" s="200" t="s">
        <v>442</v>
      </c>
      <c r="B283" s="118">
        <v>0</v>
      </c>
      <c r="C283" s="236">
        <f t="shared" si="151"/>
        <v>171.32760582787859</v>
      </c>
      <c r="D283" s="237">
        <f t="shared" si="152"/>
        <v>4.99076883053056</v>
      </c>
      <c r="E283" s="238">
        <f t="shared" si="153"/>
        <v>2797.0756420644875</v>
      </c>
      <c r="F283" s="239">
        <f>G192-AB192/2</f>
        <v>506.25924546872841</v>
      </c>
      <c r="G283" s="154">
        <f t="shared" si="92"/>
        <v>0.24258064516129046</v>
      </c>
      <c r="H283" s="149">
        <f t="shared" si="93"/>
        <v>0.22483203336070554</v>
      </c>
      <c r="I283" s="240">
        <f t="shared" si="94"/>
        <v>506.25924546872841</v>
      </c>
      <c r="J283" s="154">
        <f t="shared" si="95"/>
        <v>0.4360153783084989</v>
      </c>
      <c r="K283" s="241">
        <f t="shared" si="96"/>
        <v>506.25924546872841</v>
      </c>
      <c r="L283" s="150">
        <f t="shared" si="97"/>
        <v>0.88466103877587865</v>
      </c>
      <c r="M283" s="150">
        <f t="shared" si="98"/>
        <v>4.8954701435034087</v>
      </c>
      <c r="N283" s="152">
        <f t="shared" si="99"/>
        <v>3.5584217204171522E-5</v>
      </c>
      <c r="O283" s="152">
        <f t="shared" si="154"/>
        <v>455.0858863596743</v>
      </c>
      <c r="P283" s="153">
        <f t="shared" si="100"/>
        <v>0.14063279464003856</v>
      </c>
      <c r="Q283" s="154">
        <f t="shared" si="101"/>
        <v>1.1746779379181895</v>
      </c>
      <c r="R283" s="155">
        <f t="shared" si="102"/>
        <v>0.68806611779304006</v>
      </c>
      <c r="S283" s="154">
        <f t="shared" si="103"/>
        <v>5.5548894161373763E-2</v>
      </c>
      <c r="T283" s="148">
        <f t="shared" si="104"/>
        <v>0.47064420627918335</v>
      </c>
      <c r="U283" s="148">
        <f t="shared" si="105"/>
        <v>0.32319489545686136</v>
      </c>
      <c r="V283" s="154">
        <f t="shared" si="106"/>
        <v>6.5312596156294065</v>
      </c>
      <c r="W283" s="154">
        <f t="shared" si="107"/>
        <v>47.820905448234527</v>
      </c>
      <c r="X283" s="154">
        <f t="shared" si="108"/>
        <v>0.95398466330057918</v>
      </c>
      <c r="Y283" s="112"/>
      <c r="Z283" s="242">
        <f t="shared" si="109"/>
        <v>0.11712639654200906</v>
      </c>
      <c r="AA283" s="235">
        <f t="shared" si="110"/>
        <v>2.5241684849024661</v>
      </c>
      <c r="AB283" s="236">
        <f t="shared" si="111"/>
        <v>171.32760582787859</v>
      </c>
      <c r="AC283" s="243">
        <f t="shared" si="112"/>
        <v>0.29637226423610991</v>
      </c>
      <c r="AD283" s="243">
        <f t="shared" si="113"/>
        <v>18.460363095501368</v>
      </c>
      <c r="AE283" s="244">
        <f t="shared" si="114"/>
        <v>1.4929459795647159E-5</v>
      </c>
      <c r="AF283" s="244">
        <f t="shared" si="115"/>
        <v>14111.338323927455</v>
      </c>
      <c r="AG283" s="245">
        <f t="shared" si="116"/>
        <v>4.3659861131429938E-2</v>
      </c>
      <c r="AH283" s="244">
        <f t="shared" si="117"/>
        <v>50.375991196563305</v>
      </c>
      <c r="AI283" s="246">
        <f t="shared" si="118"/>
        <v>1.0389329093895148</v>
      </c>
      <c r="AJ283" s="235">
        <f t="shared" si="119"/>
        <v>3.2894464863972107E-2</v>
      </c>
      <c r="AK283" s="235">
        <f t="shared" si="120"/>
        <v>1.0615571210923045</v>
      </c>
      <c r="AL283" s="235">
        <f t="shared" si="121"/>
        <v>1.0187997887723801</v>
      </c>
      <c r="AM283" s="235">
        <f t="shared" si="122"/>
        <v>49.671382407553779</v>
      </c>
      <c r="AN283" s="235">
        <f t="shared" si="123"/>
        <v>361.38935312532078</v>
      </c>
      <c r="AO283" s="235">
        <f t="shared" si="124"/>
        <v>5.1330907843898563</v>
      </c>
      <c r="AP283" s="247">
        <f t="shared" si="155"/>
        <v>215.70029365886936</v>
      </c>
      <c r="AQ283" s="248">
        <f t="shared" si="125"/>
        <v>3.362031700420903</v>
      </c>
      <c r="AR283" s="94">
        <f t="shared" si="126"/>
        <v>2.9101708119215381E-2</v>
      </c>
      <c r="AS283" s="249">
        <f t="shared" si="127"/>
        <v>2.7626179727075462</v>
      </c>
      <c r="AT283" s="247">
        <f t="shared" si="128"/>
        <v>216.70029365886936</v>
      </c>
      <c r="AU283" s="248">
        <f t="shared" si="129"/>
        <v>3.3504607896660312</v>
      </c>
      <c r="AV283" s="94">
        <f t="shared" si="130"/>
        <v>2.9057986968113306E-2</v>
      </c>
      <c r="AW283" s="249">
        <f t="shared" si="131"/>
        <v>2.8248773964149847</v>
      </c>
      <c r="AX283" s="247">
        <f t="shared" si="132"/>
        <v>224.20822557913149</v>
      </c>
      <c r="AY283" s="249">
        <f t="shared" si="133"/>
        <v>3.292316911005186</v>
      </c>
      <c r="AZ283" s="238">
        <f t="shared" si="134"/>
        <v>2801.4765849714481</v>
      </c>
      <c r="BA283" s="250">
        <f t="shared" si="135"/>
        <v>173.44521535119847</v>
      </c>
      <c r="BB283" s="235">
        <f t="shared" si="136"/>
        <v>171.54831696384133</v>
      </c>
      <c r="BC283" s="247">
        <f t="shared" si="137"/>
        <v>224.20822557913149</v>
      </c>
      <c r="BD283" s="248">
        <f t="shared" si="138"/>
        <v>3.2635871794630265</v>
      </c>
      <c r="BE283" s="94">
        <f t="shared" si="139"/>
        <v>2.8721074430107969E-2</v>
      </c>
      <c r="BF283" s="249">
        <f t="shared" si="140"/>
        <v>3.2785755628743312</v>
      </c>
      <c r="BG283" s="247">
        <f t="shared" si="141"/>
        <v>225.20822557913149</v>
      </c>
      <c r="BH283" s="248">
        <f t="shared" si="142"/>
        <v>3.2520162687081551</v>
      </c>
      <c r="BI283" s="94">
        <f t="shared" si="143"/>
        <v>2.8675032247801643E-2</v>
      </c>
      <c r="BJ283" s="249">
        <f t="shared" si="144"/>
        <v>3.3408349865817697</v>
      </c>
      <c r="BK283" s="247">
        <f t="shared" si="145"/>
        <v>224.39411302573524</v>
      </c>
      <c r="BL283" s="248">
        <f t="shared" si="146"/>
        <v>3.2614362924079234</v>
      </c>
      <c r="BM283" s="136">
        <f t="shared" si="147"/>
        <v>2.8712536756949788E-2</v>
      </c>
      <c r="BN283" s="250">
        <f t="shared" si="148"/>
        <v>3.2901488081743278</v>
      </c>
      <c r="BO283" s="236">
        <f t="shared" si="149"/>
        <v>2801.4736868146651</v>
      </c>
      <c r="BP283" s="251">
        <f t="shared" si="150"/>
        <v>173.44381993782366</v>
      </c>
      <c r="BY283" s="254"/>
      <c r="BZ283" s="254"/>
      <c r="CA283" s="253"/>
      <c r="CB283" s="256"/>
      <c r="CC283" s="256"/>
      <c r="CD283" s="257"/>
      <c r="CE283" s="255"/>
      <c r="CF283" s="255"/>
      <c r="CG283" s="126"/>
      <c r="CH283" s="209"/>
      <c r="CI283" s="256"/>
      <c r="CJ283" s="208"/>
      <c r="CK283" s="208"/>
      <c r="CL283" s="254"/>
      <c r="CM283" s="209"/>
      <c r="CN283" s="254"/>
      <c r="CO283" s="28"/>
      <c r="CP283" s="28"/>
      <c r="CQ283" s="28"/>
      <c r="CR283" s="28"/>
      <c r="CS283" s="28"/>
      <c r="CT283" s="28"/>
      <c r="CU283" s="28"/>
      <c r="CV283" s="28"/>
    </row>
    <row r="284" spans="1:100" ht="12" customHeight="1" x14ac:dyDescent="0.2">
      <c r="A284" s="200" t="s">
        <v>442</v>
      </c>
      <c r="B284" s="118">
        <v>0</v>
      </c>
      <c r="C284" s="236">
        <f t="shared" si="151"/>
        <v>173.44381993782366</v>
      </c>
      <c r="D284" s="237">
        <f t="shared" si="152"/>
        <v>4.9902650706185945</v>
      </c>
      <c r="E284" s="238">
        <f t="shared" si="153"/>
        <v>2801.4736868146651</v>
      </c>
      <c r="F284" s="239">
        <f>G191-AB191/2</f>
        <v>536.64455086215685</v>
      </c>
      <c r="G284" s="154">
        <f t="shared" si="92"/>
        <v>0.25470967741935496</v>
      </c>
      <c r="H284" s="149">
        <f t="shared" si="93"/>
        <v>0.23039273182256928</v>
      </c>
      <c r="I284" s="240">
        <f t="shared" si="94"/>
        <v>536.64455086215685</v>
      </c>
      <c r="J284" s="154">
        <f t="shared" si="95"/>
        <v>0.42056448163587529</v>
      </c>
      <c r="K284" s="241">
        <f t="shared" si="96"/>
        <v>536.64455086215685</v>
      </c>
      <c r="L284" s="150">
        <f t="shared" si="97"/>
        <v>0.91716213408296277</v>
      </c>
      <c r="M284" s="150">
        <f t="shared" si="98"/>
        <v>5.0753222390892496</v>
      </c>
      <c r="N284" s="152">
        <f t="shared" si="99"/>
        <v>3.6464310218125746E-5</v>
      </c>
      <c r="O284" s="152">
        <f t="shared" si="154"/>
        <v>444.10205293629514</v>
      </c>
      <c r="P284" s="153">
        <f t="shared" si="100"/>
        <v>0.1441110203766173</v>
      </c>
      <c r="Q284" s="154">
        <f t="shared" si="101"/>
        <v>1.2479541035842128</v>
      </c>
      <c r="R284" s="155">
        <f t="shared" si="102"/>
        <v>0.68965920587115725</v>
      </c>
      <c r="S284" s="154">
        <f t="shared" si="103"/>
        <v>5.7070256017117328E-2</v>
      </c>
      <c r="T284" s="148">
        <f t="shared" si="104"/>
        <v>0.50013406844364783</v>
      </c>
      <c r="U284" s="148">
        <f t="shared" si="105"/>
        <v>0.34565812906705384</v>
      </c>
      <c r="V284" s="154">
        <f t="shared" si="106"/>
        <v>6.9338938301919875</v>
      </c>
      <c r="W284" s="154">
        <f t="shared" si="107"/>
        <v>52.159382155388187</v>
      </c>
      <c r="X284" s="154">
        <f t="shared" si="108"/>
        <v>1.040533426899203</v>
      </c>
      <c r="Y284" s="112"/>
      <c r="Z284" s="242">
        <f t="shared" si="109"/>
        <v>0.11718515985687006</v>
      </c>
      <c r="AA284" s="235">
        <f t="shared" si="110"/>
        <v>2.5100757395204218</v>
      </c>
      <c r="AB284" s="236">
        <f t="shared" si="111"/>
        <v>173.44381993782366</v>
      </c>
      <c r="AC284" s="243">
        <f t="shared" si="112"/>
        <v>0.29803623747501207</v>
      </c>
      <c r="AD284" s="243">
        <f t="shared" si="113"/>
        <v>18.564008253561298</v>
      </c>
      <c r="AE284" s="244">
        <f t="shared" si="114"/>
        <v>1.5017242230880301E-5</v>
      </c>
      <c r="AF284" s="244">
        <f t="shared" si="115"/>
        <v>14028.851298451775</v>
      </c>
      <c r="AG284" s="245">
        <f t="shared" si="116"/>
        <v>4.3681765657157798E-2</v>
      </c>
      <c r="AH284" s="244">
        <f t="shared" si="117"/>
        <v>50.684241662891559</v>
      </c>
      <c r="AI284" s="246">
        <f t="shared" si="118"/>
        <v>1.0366075905298555</v>
      </c>
      <c r="AJ284" s="235">
        <f t="shared" si="119"/>
        <v>3.3054957113390099E-2</v>
      </c>
      <c r="AK284" s="235">
        <f t="shared" si="120"/>
        <v>1.0594902496132292</v>
      </c>
      <c r="AL284" s="235">
        <f t="shared" si="121"/>
        <v>1.0181528200317245</v>
      </c>
      <c r="AM284" s="235">
        <f t="shared" si="122"/>
        <v>49.363307126812529</v>
      </c>
      <c r="AN284" s="235">
        <f t="shared" si="123"/>
        <v>360.90020349727774</v>
      </c>
      <c r="AO284" s="235">
        <f t="shared" si="124"/>
        <v>5.1261430162107953</v>
      </c>
      <c r="AP284" s="247">
        <f t="shared" si="155"/>
        <v>224.39411302573524</v>
      </c>
      <c r="AQ284" s="248">
        <f t="shared" si="125"/>
        <v>3.9408077038031664</v>
      </c>
      <c r="AR284" s="94">
        <f t="shared" si="126"/>
        <v>3.4404423219953698E-2</v>
      </c>
      <c r="AS284" s="249">
        <f t="shared" si="127"/>
        <v>3.1678423192425966</v>
      </c>
      <c r="AT284" s="247">
        <f t="shared" si="128"/>
        <v>225.39411302573524</v>
      </c>
      <c r="AU284" s="248">
        <f t="shared" si="129"/>
        <v>3.9281870403027117</v>
      </c>
      <c r="AV284" s="94">
        <f t="shared" si="130"/>
        <v>3.4358329429971725E-2</v>
      </c>
      <c r="AW284" s="249">
        <f t="shared" si="131"/>
        <v>3.2300174732456695</v>
      </c>
      <c r="AX284" s="247">
        <f t="shared" si="132"/>
        <v>235.18178257915221</v>
      </c>
      <c r="AY284" s="249">
        <f t="shared" si="133"/>
        <v>3.8385673350605565</v>
      </c>
      <c r="AZ284" s="238">
        <f t="shared" si="134"/>
        <v>2806.6048197349669</v>
      </c>
      <c r="BA284" s="250">
        <f t="shared" si="135"/>
        <v>175.91301833487159</v>
      </c>
      <c r="BB284" s="235">
        <f t="shared" si="136"/>
        <v>173.73066764935646</v>
      </c>
      <c r="BC284" s="247">
        <f t="shared" si="137"/>
        <v>235.18178257915221</v>
      </c>
      <c r="BD284" s="248">
        <f t="shared" si="138"/>
        <v>3.8046601564153888</v>
      </c>
      <c r="BE284" s="94">
        <f t="shared" si="139"/>
        <v>3.3892313290555649E-2</v>
      </c>
      <c r="BF284" s="249">
        <f t="shared" si="140"/>
        <v>3.8207325344205758</v>
      </c>
      <c r="BG284" s="247">
        <f t="shared" si="141"/>
        <v>236.18178257915221</v>
      </c>
      <c r="BH284" s="248">
        <f t="shared" si="142"/>
        <v>3.7920394929149337</v>
      </c>
      <c r="BI284" s="94">
        <f t="shared" si="143"/>
        <v>3.3843158032553292E-2</v>
      </c>
      <c r="BJ284" s="249">
        <f t="shared" si="144"/>
        <v>3.8829076884236486</v>
      </c>
      <c r="BK284" s="247">
        <f t="shared" si="145"/>
        <v>235.4198738580701</v>
      </c>
      <c r="BL284" s="248">
        <f t="shared" si="146"/>
        <v>3.8016552865017732</v>
      </c>
      <c r="BM284" s="136">
        <f t="shared" si="147"/>
        <v>3.3880636137559116E-2</v>
      </c>
      <c r="BN284" s="250">
        <f t="shared" si="148"/>
        <v>3.8355358963540844</v>
      </c>
      <c r="BO284" s="236">
        <f t="shared" si="149"/>
        <v>2806.6007675336768</v>
      </c>
      <c r="BP284" s="251">
        <f t="shared" si="150"/>
        <v>175.91106725920727</v>
      </c>
      <c r="BY284" s="254"/>
      <c r="BZ284" s="254"/>
      <c r="CA284" s="253"/>
      <c r="CB284" s="256"/>
      <c r="CC284" s="256"/>
      <c r="CD284" s="257"/>
      <c r="CE284" s="255"/>
      <c r="CF284" s="255"/>
      <c r="CG284" s="126"/>
      <c r="CH284" s="209"/>
      <c r="CI284" s="256"/>
      <c r="CJ284" s="208"/>
      <c r="CK284" s="208"/>
      <c r="CL284" s="254"/>
      <c r="CM284" s="209"/>
      <c r="CN284" s="254"/>
      <c r="CO284" s="28"/>
      <c r="CP284" s="28"/>
      <c r="CQ284" s="28"/>
      <c r="CR284" s="28"/>
      <c r="CS284" s="28"/>
      <c r="CT284" s="28"/>
      <c r="CU284" s="28"/>
      <c r="CV284" s="28"/>
    </row>
    <row r="285" spans="1:100" ht="12" customHeight="1" x14ac:dyDescent="0.2">
      <c r="A285" s="200" t="s">
        <v>442</v>
      </c>
      <c r="B285" s="118">
        <v>0</v>
      </c>
      <c r="C285" s="236">
        <f t="shared" si="151"/>
        <v>175.91106725920727</v>
      </c>
      <c r="D285" s="237">
        <f t="shared" si="152"/>
        <v>4.9897582282019659</v>
      </c>
      <c r="E285" s="238">
        <f t="shared" si="153"/>
        <v>2806.6007675336768</v>
      </c>
      <c r="F285" s="239">
        <f>G190-AB190/2</f>
        <v>572.92713957375133</v>
      </c>
      <c r="G285" s="154">
        <f t="shared" si="92"/>
        <v>0.26683870967741946</v>
      </c>
      <c r="H285" s="149">
        <f t="shared" si="93"/>
        <v>0.23689795684028897</v>
      </c>
      <c r="I285" s="240">
        <f t="shared" si="94"/>
        <v>572.92713957375133</v>
      </c>
      <c r="J285" s="154">
        <f t="shared" si="95"/>
        <v>0.40387330501201513</v>
      </c>
      <c r="K285" s="241">
        <f t="shared" si="96"/>
        <v>572.92713957375133</v>
      </c>
      <c r="L285" s="150">
        <f t="shared" si="97"/>
        <v>0.95506638520012876</v>
      </c>
      <c r="M285" s="150">
        <f t="shared" si="98"/>
        <v>5.285073908398326</v>
      </c>
      <c r="N285" s="152">
        <f t="shared" si="99"/>
        <v>3.7493893665521665E-5</v>
      </c>
      <c r="O285" s="152">
        <f t="shared" si="154"/>
        <v>431.90699720970838</v>
      </c>
      <c r="P285" s="153">
        <f t="shared" si="100"/>
        <v>0.14818004897689907</v>
      </c>
      <c r="Q285" s="154">
        <f t="shared" si="101"/>
        <v>1.3362219384713736</v>
      </c>
      <c r="R285" s="155">
        <f t="shared" si="102"/>
        <v>0.69169370044440925</v>
      </c>
      <c r="S285" s="154">
        <f t="shared" si="103"/>
        <v>5.8886888951318155E-2</v>
      </c>
      <c r="T285" s="148">
        <f t="shared" si="104"/>
        <v>0.53875305328779632</v>
      </c>
      <c r="U285" s="148">
        <f t="shared" si="105"/>
        <v>0.37608899666314577</v>
      </c>
      <c r="V285" s="154">
        <f t="shared" si="106"/>
        <v>7.4819819588583858</v>
      </c>
      <c r="W285" s="154">
        <f t="shared" si="107"/>
        <v>58.07386055461447</v>
      </c>
      <c r="X285" s="154">
        <f t="shared" si="108"/>
        <v>1.1585220268932406</v>
      </c>
      <c r="Y285" s="112"/>
      <c r="Z285" s="242">
        <f t="shared" si="109"/>
        <v>0.11725358273116265</v>
      </c>
      <c r="AA285" s="235">
        <f t="shared" si="110"/>
        <v>2.4939139710941642</v>
      </c>
      <c r="AB285" s="236">
        <f t="shared" si="111"/>
        <v>175.91106725920727</v>
      </c>
      <c r="AC285" s="243">
        <f t="shared" si="112"/>
        <v>0.29996765640466783</v>
      </c>
      <c r="AD285" s="243">
        <f t="shared" si="113"/>
        <v>18.684312003383734</v>
      </c>
      <c r="AE285" s="244">
        <f t="shared" si="114"/>
        <v>1.5119588750024168E-5</v>
      </c>
      <c r="AF285" s="244">
        <f t="shared" si="115"/>
        <v>13933.888127050623</v>
      </c>
      <c r="AG285" s="245">
        <f t="shared" si="116"/>
        <v>4.3707270865872692E-2</v>
      </c>
      <c r="AH285" s="244">
        <f t="shared" si="117"/>
        <v>51.042485701385225</v>
      </c>
      <c r="AI285" s="246">
        <f t="shared" si="118"/>
        <v>1.0339295629744438</v>
      </c>
      <c r="AJ285" s="235">
        <f t="shared" si="119"/>
        <v>3.3243125319085104E-2</v>
      </c>
      <c r="AK285" s="235">
        <f t="shared" si="120"/>
        <v>1.0575842110339664</v>
      </c>
      <c r="AL285" s="235">
        <f t="shared" si="121"/>
        <v>1.017557400869443</v>
      </c>
      <c r="AM285" s="235">
        <f t="shared" si="122"/>
        <v>49.016352449095251</v>
      </c>
      <c r="AN285" s="235">
        <f t="shared" si="123"/>
        <v>360.40359797171493</v>
      </c>
      <c r="AO285" s="235">
        <f t="shared" si="124"/>
        <v>5.1190893461878728</v>
      </c>
      <c r="AP285" s="247">
        <f t="shared" si="155"/>
        <v>235.4198738580701</v>
      </c>
      <c r="AQ285" s="248">
        <f t="shared" si="125"/>
        <v>4.7425680706327533</v>
      </c>
      <c r="AR285" s="94">
        <f t="shared" si="126"/>
        <v>4.1570024498771826E-2</v>
      </c>
      <c r="AS285" s="249">
        <f t="shared" si="127"/>
        <v>3.6948779870028039</v>
      </c>
      <c r="AT285" s="247">
        <f t="shared" si="128"/>
        <v>236.4198738580701</v>
      </c>
      <c r="AU285" s="248">
        <f t="shared" si="129"/>
        <v>4.7285163195968867</v>
      </c>
      <c r="AV285" s="94">
        <f t="shared" si="130"/>
        <v>4.1520800186344013E-2</v>
      </c>
      <c r="AW285" s="249">
        <f t="shared" si="131"/>
        <v>3.7569675868146306</v>
      </c>
      <c r="AX285" s="247">
        <f t="shared" si="132"/>
        <v>249.71639420641429</v>
      </c>
      <c r="AY285" s="249">
        <f t="shared" si="133"/>
        <v>4.5825432141331364</v>
      </c>
      <c r="AZ285" s="238">
        <f t="shared" si="134"/>
        <v>2812.7263962623892</v>
      </c>
      <c r="BA285" s="250">
        <f t="shared" si="135"/>
        <v>178.85911877856782</v>
      </c>
      <c r="BB285" s="235">
        <f t="shared" si="136"/>
        <v>176.29489321396215</v>
      </c>
      <c r="BC285" s="247">
        <f t="shared" si="137"/>
        <v>249.71639420641429</v>
      </c>
      <c r="BD285" s="248">
        <f t="shared" si="138"/>
        <v>4.5416769260186234</v>
      </c>
      <c r="BE285" s="94">
        <f t="shared" si="139"/>
        <v>4.0838206592093529E-2</v>
      </c>
      <c r="BF285" s="249">
        <f t="shared" si="140"/>
        <v>4.5587116142050128</v>
      </c>
      <c r="BG285" s="247">
        <f t="shared" si="141"/>
        <v>250.71639420641429</v>
      </c>
      <c r="BH285" s="248">
        <f t="shared" si="142"/>
        <v>4.5276251749827567</v>
      </c>
      <c r="BI285" s="94">
        <f t="shared" si="143"/>
        <v>4.078471624279708E-2</v>
      </c>
      <c r="BJ285" s="249">
        <f t="shared" si="144"/>
        <v>4.62080121401684</v>
      </c>
      <c r="BK285" s="247">
        <f t="shared" si="145"/>
        <v>250.02879748768322</v>
      </c>
      <c r="BL285" s="248">
        <f t="shared" si="146"/>
        <v>4.5372871128874452</v>
      </c>
      <c r="BM285" s="136">
        <f t="shared" si="147"/>
        <v>4.0821528964403594E-2</v>
      </c>
      <c r="BN285" s="250">
        <f t="shared" si="148"/>
        <v>4.5781086089189023</v>
      </c>
      <c r="BO285" s="236">
        <f t="shared" si="149"/>
        <v>2812.7204684090198</v>
      </c>
      <c r="BP285" s="251">
        <f t="shared" si="150"/>
        <v>178.85626458999468</v>
      </c>
      <c r="BY285" s="254"/>
      <c r="BZ285" s="254"/>
      <c r="CA285" s="253"/>
      <c r="CB285" s="256"/>
      <c r="CC285" s="256"/>
      <c r="CD285" s="257"/>
      <c r="CE285" s="255"/>
      <c r="CF285" s="255"/>
      <c r="CG285" s="126"/>
      <c r="CH285" s="209"/>
      <c r="CI285" s="256"/>
      <c r="CJ285" s="208"/>
      <c r="CK285" s="208"/>
      <c r="CL285" s="254"/>
      <c r="CM285" s="209"/>
      <c r="CN285" s="254"/>
      <c r="CO285" s="28"/>
      <c r="CP285" s="28"/>
      <c r="CQ285" s="28"/>
      <c r="CR285" s="28"/>
      <c r="CS285" s="28"/>
      <c r="CT285" s="28"/>
      <c r="CU285" s="28"/>
      <c r="CV285" s="28"/>
    </row>
    <row r="286" spans="1:100" ht="12" customHeight="1" x14ac:dyDescent="0.2">
      <c r="A286" s="200" t="s">
        <v>442</v>
      </c>
      <c r="B286" s="118">
        <v>0</v>
      </c>
      <c r="C286" s="236">
        <f t="shared" si="151"/>
        <v>178.85626458999468</v>
      </c>
      <c r="D286" s="237">
        <f t="shared" si="152"/>
        <v>4.9892478033449521</v>
      </c>
      <c r="E286" s="238">
        <f t="shared" si="153"/>
        <v>2812.7204684090198</v>
      </c>
      <c r="F286" s="239">
        <f>G189-AB189/2</f>
        <v>617.53750702291836</v>
      </c>
      <c r="G286" s="154">
        <f t="shared" si="92"/>
        <v>0.27896774193548396</v>
      </c>
      <c r="H286" s="149">
        <f t="shared" si="93"/>
        <v>0.24469532270636149</v>
      </c>
      <c r="I286" s="240">
        <f t="shared" si="94"/>
        <v>617.53750702291836</v>
      </c>
      <c r="J286" s="154">
        <f t="shared" si="95"/>
        <v>0.38555653307900944</v>
      </c>
      <c r="K286" s="241">
        <f t="shared" si="96"/>
        <v>617.53750702291836</v>
      </c>
      <c r="L286" s="150">
        <f t="shared" si="97"/>
        <v>1.0004390650997224</v>
      </c>
      <c r="M286" s="150">
        <f t="shared" si="98"/>
        <v>5.5361538023275871</v>
      </c>
      <c r="N286" s="152">
        <f t="shared" si="99"/>
        <v>3.872798453972363E-5</v>
      </c>
      <c r="O286" s="152">
        <f t="shared" si="154"/>
        <v>418.14401702637974</v>
      </c>
      <c r="P286" s="153">
        <f t="shared" si="100"/>
        <v>0.15305731373399609</v>
      </c>
      <c r="Q286" s="154">
        <f t="shared" si="101"/>
        <v>1.4457727425987041</v>
      </c>
      <c r="R286" s="155">
        <f t="shared" si="102"/>
        <v>0.69434404592610122</v>
      </c>
      <c r="S286" s="154">
        <f t="shared" si="103"/>
        <v>6.1120485439130498E-2</v>
      </c>
      <c r="T286" s="148">
        <f t="shared" si="104"/>
        <v>0.5929744054960131</v>
      </c>
      <c r="U286" s="148">
        <f t="shared" si="105"/>
        <v>0.42135090508902451</v>
      </c>
      <c r="V286" s="154">
        <f t="shared" si="106"/>
        <v>8.3030091394495074</v>
      </c>
      <c r="W286" s="154">
        <f t="shared" si="107"/>
        <v>66.891008057000505</v>
      </c>
      <c r="X286" s="154">
        <f t="shared" si="108"/>
        <v>1.3344163018446116</v>
      </c>
      <c r="Y286" s="112"/>
      <c r="Z286" s="242">
        <f t="shared" si="109"/>
        <v>0.11733513709243515</v>
      </c>
      <c r="AA286" s="235">
        <f t="shared" si="110"/>
        <v>2.4749807863408235</v>
      </c>
      <c r="AB286" s="236">
        <f t="shared" si="111"/>
        <v>178.85626458999468</v>
      </c>
      <c r="AC286" s="243">
        <f t="shared" si="112"/>
        <v>0.30226235828279141</v>
      </c>
      <c r="AD286" s="243">
        <f t="shared" si="113"/>
        <v>18.827243832633258</v>
      </c>
      <c r="AE286" s="244">
        <f t="shared" si="114"/>
        <v>1.5241765733244853E-5</v>
      </c>
      <c r="AF286" s="244">
        <f t="shared" si="115"/>
        <v>13822.195003977331</v>
      </c>
      <c r="AG286" s="245">
        <f t="shared" si="116"/>
        <v>4.3737670948116689E-2</v>
      </c>
      <c r="AH286" s="244">
        <f t="shared" si="117"/>
        <v>51.468725680689964</v>
      </c>
      <c r="AI286" s="246">
        <f t="shared" si="118"/>
        <v>1.0307787851684693</v>
      </c>
      <c r="AJ286" s="235">
        <f t="shared" si="119"/>
        <v>3.3469218202685162E-2</v>
      </c>
      <c r="AK286" s="235">
        <f t="shared" si="120"/>
        <v>1.0558199974448028</v>
      </c>
      <c r="AL286" s="235">
        <f t="shared" si="121"/>
        <v>1.0170072984832077</v>
      </c>
      <c r="AM286" s="235">
        <f t="shared" si="122"/>
        <v>48.616054125323437</v>
      </c>
      <c r="AN286" s="235">
        <f t="shared" si="123"/>
        <v>359.89147210342441</v>
      </c>
      <c r="AO286" s="235">
        <f t="shared" si="124"/>
        <v>5.1118152288066172</v>
      </c>
      <c r="AP286" s="247">
        <f t="shared" si="155"/>
        <v>250.02879748768322</v>
      </c>
      <c r="AQ286" s="248">
        <f t="shared" si="125"/>
        <v>5.9481940166357639</v>
      </c>
      <c r="AR286" s="94">
        <f t="shared" si="126"/>
        <v>5.1732444518986016E-2</v>
      </c>
      <c r="AS286" s="249">
        <f t="shared" si="127"/>
        <v>4.4127946746683238</v>
      </c>
      <c r="AT286" s="247">
        <f t="shared" si="128"/>
        <v>251.02879748768322</v>
      </c>
      <c r="AU286" s="248">
        <f t="shared" si="129"/>
        <v>5.9320088382650029</v>
      </c>
      <c r="AV286" s="94">
        <f t="shared" si="130"/>
        <v>5.1678858298094925E-2</v>
      </c>
      <c r="AW286" s="249">
        <f t="shared" si="131"/>
        <v>4.4747960464757846</v>
      </c>
      <c r="AX286" s="247">
        <f t="shared" si="132"/>
        <v>270.31418884219539</v>
      </c>
      <c r="AY286" s="249">
        <f t="shared" si="133"/>
        <v>5.6705167662992837</v>
      </c>
      <c r="AZ286" s="238">
        <f t="shared" si="134"/>
        <v>2820.3004253864378</v>
      </c>
      <c r="BA286" s="250">
        <f t="shared" si="135"/>
        <v>182.50457990421938</v>
      </c>
      <c r="BB286" s="235">
        <f t="shared" si="136"/>
        <v>179.39973655909077</v>
      </c>
      <c r="BC286" s="247">
        <f t="shared" si="137"/>
        <v>270.31418884219539</v>
      </c>
      <c r="BD286" s="248">
        <f t="shared" si="138"/>
        <v>5.6198713392423025</v>
      </c>
      <c r="BE286" s="94">
        <f t="shared" si="139"/>
        <v>5.0583835299225097E-2</v>
      </c>
      <c r="BF286" s="249">
        <f t="shared" si="140"/>
        <v>5.6368207586764241</v>
      </c>
      <c r="BG286" s="247">
        <f t="shared" si="141"/>
        <v>271.31418884219539</v>
      </c>
      <c r="BH286" s="248">
        <f t="shared" si="142"/>
        <v>5.6036861608715425</v>
      </c>
      <c r="BI286" s="94">
        <f t="shared" si="143"/>
        <v>5.0523775624182844E-2</v>
      </c>
      <c r="BJ286" s="249">
        <f t="shared" si="144"/>
        <v>5.6988221304838849</v>
      </c>
      <c r="BK286" s="247">
        <f t="shared" si="145"/>
        <v>270.74404025592668</v>
      </c>
      <c r="BL286" s="248">
        <f t="shared" si="146"/>
        <v>5.6129141174381383</v>
      </c>
      <c r="BM286" s="136">
        <f t="shared" si="147"/>
        <v>5.0558059159861418E-2</v>
      </c>
      <c r="BN286" s="250">
        <f t="shared" si="148"/>
        <v>5.6634721360011406</v>
      </c>
      <c r="BO286" s="236">
        <f t="shared" si="149"/>
        <v>2820.2910086360916</v>
      </c>
      <c r="BP286" s="251">
        <f t="shared" si="150"/>
        <v>182.5000458324387</v>
      </c>
      <c r="BY286" s="254"/>
      <c r="BZ286" s="254"/>
      <c r="CA286" s="253"/>
      <c r="CB286" s="256"/>
      <c r="CC286" s="256"/>
      <c r="CD286" s="257"/>
      <c r="CE286" s="255"/>
      <c r="CF286" s="255"/>
      <c r="CG286" s="126"/>
      <c r="CH286" s="209"/>
      <c r="CI286" s="256"/>
      <c r="CJ286" s="208"/>
      <c r="CK286" s="208"/>
      <c r="CL286" s="254"/>
      <c r="CM286" s="209"/>
      <c r="CN286" s="254"/>
      <c r="CO286" s="28"/>
      <c r="CP286" s="28"/>
      <c r="CQ286" s="28"/>
      <c r="CR286" s="28"/>
      <c r="CS286" s="28"/>
      <c r="CT286" s="28"/>
      <c r="CU286" s="28"/>
      <c r="CV286" s="28"/>
    </row>
    <row r="287" spans="1:100" ht="12" customHeight="1" x14ac:dyDescent="0.2">
      <c r="A287" s="200" t="s">
        <v>442</v>
      </c>
      <c r="B287" s="118">
        <v>0</v>
      </c>
      <c r="C287" s="236">
        <f t="shared" si="151"/>
        <v>182.5000458324387</v>
      </c>
      <c r="D287" s="237">
        <f t="shared" si="152"/>
        <v>4.9887331160881452</v>
      </c>
      <c r="E287" s="238">
        <f t="shared" si="153"/>
        <v>2820.2910086360916</v>
      </c>
      <c r="F287" s="239">
        <f>G188-AB188/2</f>
        <v>674.92859221913886</v>
      </c>
      <c r="G287" s="154">
        <f t="shared" si="92"/>
        <v>0.29109677419354846</v>
      </c>
      <c r="H287" s="149">
        <f t="shared" si="93"/>
        <v>0.25440058717512037</v>
      </c>
      <c r="I287" s="240">
        <f t="shared" si="94"/>
        <v>674.92859221913886</v>
      </c>
      <c r="J287" s="154">
        <f t="shared" si="95"/>
        <v>0.36492034713957988</v>
      </c>
      <c r="K287" s="241">
        <f t="shared" si="96"/>
        <v>674.92859221913886</v>
      </c>
      <c r="L287" s="150">
        <f t="shared" si="97"/>
        <v>1.0570137305857503</v>
      </c>
      <c r="M287" s="150">
        <f t="shared" si="98"/>
        <v>5.8492223942809263</v>
      </c>
      <c r="N287" s="152">
        <f t="shared" si="99"/>
        <v>4.0264038960964317E-5</v>
      </c>
      <c r="O287" s="152">
        <f t="shared" si="154"/>
        <v>402.19201661500995</v>
      </c>
      <c r="P287" s="153">
        <f t="shared" si="100"/>
        <v>0.15912797210309296</v>
      </c>
      <c r="Q287" s="154">
        <f t="shared" si="101"/>
        <v>1.5881168773741485</v>
      </c>
      <c r="R287" s="155">
        <f t="shared" si="102"/>
        <v>0.69789772602061639</v>
      </c>
      <c r="S287" s="154">
        <f t="shared" si="103"/>
        <v>6.3993999683820052E-2</v>
      </c>
      <c r="T287" s="148">
        <f t="shared" si="104"/>
        <v>0.6787861556995074</v>
      </c>
      <c r="U287" s="148">
        <f t="shared" si="105"/>
        <v>0.50235554305303998</v>
      </c>
      <c r="V287" s="154">
        <f t="shared" si="106"/>
        <v>9.7883849617872389</v>
      </c>
      <c r="W287" s="154">
        <f t="shared" si="107"/>
        <v>82.564950711646404</v>
      </c>
      <c r="X287" s="154">
        <f t="shared" si="108"/>
        <v>1.6470975605081692</v>
      </c>
      <c r="Y287" s="112"/>
      <c r="Z287" s="242">
        <f t="shared" si="109"/>
        <v>0.11743585141738476</v>
      </c>
      <c r="AA287" s="235">
        <f t="shared" si="110"/>
        <v>2.4520687092822193</v>
      </c>
      <c r="AB287" s="236">
        <f t="shared" si="111"/>
        <v>182.5000458324387</v>
      </c>
      <c r="AC287" s="243">
        <f t="shared" si="112"/>
        <v>0.30508669123018178</v>
      </c>
      <c r="AD287" s="243">
        <f t="shared" si="113"/>
        <v>19.003165192365753</v>
      </c>
      <c r="AE287" s="244">
        <f t="shared" si="114"/>
        <v>1.5392928585721666E-5</v>
      </c>
      <c r="AF287" s="244">
        <f t="shared" si="115"/>
        <v>13686.457193419954</v>
      </c>
      <c r="AG287" s="245">
        <f t="shared" si="116"/>
        <v>4.3775213069884841E-2</v>
      </c>
      <c r="AH287" s="244">
        <f t="shared" si="117"/>
        <v>51.994239194074225</v>
      </c>
      <c r="AI287" s="246">
        <f t="shared" si="118"/>
        <v>1.0269493036333315</v>
      </c>
      <c r="AJ287" s="235">
        <f t="shared" si="119"/>
        <v>3.3751140777131573E-2</v>
      </c>
      <c r="AK287" s="235">
        <f t="shared" si="120"/>
        <v>1.0541815504144378</v>
      </c>
      <c r="AL287" s="235">
        <f t="shared" si="121"/>
        <v>1.0164972687160412</v>
      </c>
      <c r="AM287" s="235">
        <f t="shared" si="122"/>
        <v>48.13782776500846</v>
      </c>
      <c r="AN287" s="235">
        <f t="shared" si="123"/>
        <v>359.35295974566787</v>
      </c>
      <c r="AO287" s="235">
        <f t="shared" si="124"/>
        <v>5.1041663238320378</v>
      </c>
      <c r="AP287" s="247">
        <f t="shared" si="155"/>
        <v>270.74404025592668</v>
      </c>
      <c r="AQ287" s="248">
        <f t="shared" si="125"/>
        <v>8.0746774988602787</v>
      </c>
      <c r="AR287" s="94">
        <f t="shared" si="126"/>
        <v>6.7221909036651414E-2</v>
      </c>
      <c r="AS287" s="249">
        <f t="shared" si="127"/>
        <v>5.4630619759971806</v>
      </c>
      <c r="AT287" s="247">
        <f t="shared" si="128"/>
        <v>271.74404025592668</v>
      </c>
      <c r="AU287" s="248">
        <f t="shared" si="129"/>
        <v>8.0546997994166958</v>
      </c>
      <c r="AV287" s="94">
        <f t="shared" si="130"/>
        <v>6.7161706828732529E-2</v>
      </c>
      <c r="AW287" s="249">
        <f t="shared" si="131"/>
        <v>5.5249705739894654</v>
      </c>
      <c r="AX287" s="247">
        <f t="shared" si="132"/>
        <v>303.43411784977604</v>
      </c>
      <c r="AY287" s="249">
        <f t="shared" si="133"/>
        <v>7.4868588480914129</v>
      </c>
      <c r="AZ287" s="238">
        <f t="shared" si="134"/>
        <v>2830.2989268388574</v>
      </c>
      <c r="BA287" s="250">
        <f t="shared" si="135"/>
        <v>187.31743074695234</v>
      </c>
      <c r="BB287" s="235">
        <f t="shared" si="136"/>
        <v>183.35858365302155</v>
      </c>
      <c r="BC287" s="247">
        <f t="shared" si="137"/>
        <v>303.43411784977604</v>
      </c>
      <c r="BD287" s="248">
        <f t="shared" si="138"/>
        <v>7.4216049539029507</v>
      </c>
      <c r="BE287" s="94">
        <f t="shared" si="139"/>
        <v>6.5075126871565234E-2</v>
      </c>
      <c r="BF287" s="249">
        <f t="shared" si="140"/>
        <v>7.4337079752957766</v>
      </c>
      <c r="BG287" s="247">
        <f t="shared" si="141"/>
        <v>304.43411784977604</v>
      </c>
      <c r="BH287" s="248">
        <f t="shared" si="142"/>
        <v>7.4016272544593686</v>
      </c>
      <c r="BI287" s="94">
        <f t="shared" si="143"/>
        <v>6.5003411872010947E-2</v>
      </c>
      <c r="BJ287" s="249">
        <f t="shared" si="144"/>
        <v>7.4956165732880615</v>
      </c>
      <c r="BK287" s="247">
        <f t="shared" si="145"/>
        <v>304.08045008630359</v>
      </c>
      <c r="BL287" s="248">
        <f t="shared" si="146"/>
        <v>7.4086927227409056</v>
      </c>
      <c r="BM287" s="136">
        <f t="shared" si="147"/>
        <v>6.5028817783955917E-2</v>
      </c>
      <c r="BN287" s="250">
        <f t="shared" si="148"/>
        <v>7.4737214978964142</v>
      </c>
      <c r="BO287" s="236">
        <f t="shared" si="149"/>
        <v>2830.2813657607721</v>
      </c>
      <c r="BP287" s="251">
        <f t="shared" si="150"/>
        <v>187.30897522054187</v>
      </c>
      <c r="BY287" s="254"/>
      <c r="BZ287" s="254"/>
      <c r="CA287" s="253"/>
      <c r="CB287" s="256"/>
      <c r="CC287" s="256"/>
      <c r="CD287" s="257"/>
      <c r="CE287" s="255"/>
      <c r="CF287" s="255"/>
      <c r="CG287" s="126"/>
      <c r="CH287" s="209"/>
      <c r="CI287" s="256"/>
      <c r="CJ287" s="208"/>
      <c r="CK287" s="208"/>
      <c r="CL287" s="254"/>
      <c r="CM287" s="209"/>
      <c r="CN287" s="254"/>
      <c r="CO287" s="28"/>
      <c r="CP287" s="28"/>
      <c r="CQ287" s="28"/>
      <c r="CR287" s="28"/>
      <c r="CS287" s="28"/>
      <c r="CT287" s="28"/>
      <c r="CU287" s="28"/>
      <c r="CV287" s="28"/>
    </row>
    <row r="288" spans="1:100" ht="12" customHeight="1" x14ac:dyDescent="0.2">
      <c r="A288" s="200" t="s">
        <v>442</v>
      </c>
      <c r="B288" s="118">
        <v>0</v>
      </c>
      <c r="C288" s="236">
        <f t="shared" si="151"/>
        <v>187.30897522054187</v>
      </c>
      <c r="D288" s="237">
        <f t="shared" si="152"/>
        <v>4.9882131736962041</v>
      </c>
      <c r="E288" s="238">
        <f t="shared" si="153"/>
        <v>2830.2813657607721</v>
      </c>
      <c r="F288" s="239">
        <f>G187-AB187/2</f>
        <v>755.25424978269916</v>
      </c>
      <c r="G288" s="154">
        <f t="shared" si="92"/>
        <v>0.30322580645161296</v>
      </c>
      <c r="H288" s="149">
        <f t="shared" si="93"/>
        <v>0.26736818407142082</v>
      </c>
      <c r="I288" s="240">
        <f t="shared" si="94"/>
        <v>755.25424978269916</v>
      </c>
      <c r="J288" s="154">
        <f t="shared" si="95"/>
        <v>0.34038388986837503</v>
      </c>
      <c r="K288" s="241">
        <f t="shared" si="96"/>
        <v>755.25424978269916</v>
      </c>
      <c r="L288" s="150">
        <f t="shared" si="97"/>
        <v>1.1332082069037193</v>
      </c>
      <c r="M288" s="150">
        <f t="shared" si="98"/>
        <v>6.2708616070020291</v>
      </c>
      <c r="N288" s="152">
        <f t="shared" si="99"/>
        <v>4.2316423479649831E-5</v>
      </c>
      <c r="O288" s="152">
        <f t="shared" si="154"/>
        <v>382.68534283298493</v>
      </c>
      <c r="P288" s="153">
        <f t="shared" si="100"/>
        <v>0.16723922459693333</v>
      </c>
      <c r="Q288" s="154">
        <f t="shared" si="101"/>
        <v>1.789382396145446</v>
      </c>
      <c r="R288" s="155">
        <f t="shared" si="102"/>
        <v>0.70290075697478271</v>
      </c>
      <c r="S288" s="154">
        <f t="shared" si="103"/>
        <v>6.801582503236997E-2</v>
      </c>
      <c r="T288" s="148">
        <f t="shared" si="104"/>
        <v>0.85521676834597482</v>
      </c>
      <c r="U288" s="148">
        <f t="shared" si="105"/>
        <v>0.85521676834597482</v>
      </c>
      <c r="V288" s="154">
        <f t="shared" si="106"/>
        <v>16.429070069940547</v>
      </c>
      <c r="W288" s="154">
        <f t="shared" si="107"/>
        <v>147.28834502048335</v>
      </c>
      <c r="X288" s="154">
        <f t="shared" si="108"/>
        <v>2.9382718899910079</v>
      </c>
      <c r="Y288" s="112"/>
      <c r="Z288" s="242">
        <f t="shared" si="109"/>
        <v>0.11756846139908579</v>
      </c>
      <c r="AA288" s="235">
        <f t="shared" si="110"/>
        <v>2.4226453720504355</v>
      </c>
      <c r="AB288" s="236">
        <f t="shared" si="111"/>
        <v>187.30897522054187</v>
      </c>
      <c r="AC288" s="243">
        <f t="shared" si="112"/>
        <v>0.30879200803162404</v>
      </c>
      <c r="AD288" s="243">
        <f t="shared" si="113"/>
        <v>19.233961058891211</v>
      </c>
      <c r="AE288" s="244">
        <f t="shared" si="114"/>
        <v>1.559243827651188E-5</v>
      </c>
      <c r="AF288" s="244">
        <f t="shared" si="115"/>
        <v>13511.335073694392</v>
      </c>
      <c r="AG288" s="245">
        <f t="shared" si="116"/>
        <v>4.3824644569159493E-2</v>
      </c>
      <c r="AH288" s="244">
        <f t="shared" si="117"/>
        <v>52.685141458729376</v>
      </c>
      <c r="AI288" s="246">
        <f t="shared" si="118"/>
        <v>1.0220104580249496</v>
      </c>
      <c r="AJ288" s="235">
        <f t="shared" si="119"/>
        <v>3.4126913796092478E-2</v>
      </c>
      <c r="AK288" s="235">
        <f t="shared" si="120"/>
        <v>1.0526552029981915</v>
      </c>
      <c r="AL288" s="235">
        <f t="shared" si="121"/>
        <v>1.0160228650082797</v>
      </c>
      <c r="AM288" s="235">
        <f t="shared" si="122"/>
        <v>47.530465215488015</v>
      </c>
      <c r="AN288" s="235">
        <f t="shared" si="123"/>
        <v>358.76937297556663</v>
      </c>
      <c r="AO288" s="235">
        <f t="shared" si="124"/>
        <v>5.0958771923299828</v>
      </c>
      <c r="AP288" s="247">
        <f t="shared" si="155"/>
        <v>304.08045008630359</v>
      </c>
      <c r="AQ288" s="248">
        <f t="shared" si="125"/>
        <v>16.079109878186447</v>
      </c>
      <c r="AR288" s="94">
        <f t="shared" si="126"/>
        <v>9.401517350643479E-2</v>
      </c>
      <c r="AS288" s="249">
        <f t="shared" si="127"/>
        <v>7.2174181903764909</v>
      </c>
      <c r="AT288" s="247">
        <f t="shared" si="128"/>
        <v>305.08045008630359</v>
      </c>
      <c r="AU288" s="248">
        <f t="shared" si="129"/>
        <v>16.043471483649782</v>
      </c>
      <c r="AV288" s="94">
        <f t="shared" si="130"/>
        <v>9.3943217212573121E-2</v>
      </c>
      <c r="AW288" s="249">
        <f t="shared" si="131"/>
        <v>7.2792262492253963</v>
      </c>
      <c r="AX288" s="247">
        <f t="shared" si="132"/>
        <v>395.91651356145871</v>
      </c>
      <c r="AY288" s="249">
        <f t="shared" si="133"/>
        <v>12.893627006100701</v>
      </c>
      <c r="AZ288" s="238">
        <f t="shared" si="134"/>
        <v>2847.5166799335402</v>
      </c>
      <c r="BA288" s="250">
        <f t="shared" si="135"/>
        <v>195.60634817550024</v>
      </c>
      <c r="BB288" s="235">
        <f t="shared" si="136"/>
        <v>189.4824659142609</v>
      </c>
      <c r="BC288" s="247">
        <f t="shared" si="137"/>
        <v>395.91651356145871</v>
      </c>
      <c r="BD288" s="248">
        <f t="shared" si="138"/>
        <v>12.806220015364651</v>
      </c>
      <c r="BE288" s="94">
        <f t="shared" si="139"/>
        <v>8.5677246056055797E-2</v>
      </c>
      <c r="BF288" s="249">
        <f t="shared" si="140"/>
        <v>12.759287765395767</v>
      </c>
      <c r="BG288" s="247">
        <f t="shared" si="141"/>
        <v>396.91651356145871</v>
      </c>
      <c r="BH288" s="248">
        <f t="shared" si="142"/>
        <v>12.770581620827986</v>
      </c>
      <c r="BI288" s="94">
        <f t="shared" si="143"/>
        <v>8.5565219621541733E-2</v>
      </c>
      <c r="BJ288" s="249">
        <f t="shared" si="144"/>
        <v>12.821095824244672</v>
      </c>
      <c r="BK288" s="247">
        <f t="shared" si="145"/>
        <v>397.27579566865734</v>
      </c>
      <c r="BL288" s="248">
        <f t="shared" si="146"/>
        <v>12.757777383341677</v>
      </c>
      <c r="BM288" s="136">
        <f t="shared" si="147"/>
        <v>8.5524847831651679E-2</v>
      </c>
      <c r="BN288" s="250">
        <f t="shared" si="148"/>
        <v>12.843302353869763</v>
      </c>
      <c r="BO288" s="236">
        <f t="shared" si="149"/>
        <v>2847.4494093161429</v>
      </c>
      <c r="BP288" s="251">
        <f t="shared" si="150"/>
        <v>195.57395772013814</v>
      </c>
      <c r="BY288" s="254"/>
      <c r="BZ288" s="254"/>
      <c r="CA288" s="253"/>
      <c r="CB288" s="256"/>
      <c r="CC288" s="256"/>
      <c r="CD288" s="257"/>
      <c r="CE288" s="255"/>
      <c r="CF288" s="255"/>
      <c r="CG288" s="126"/>
      <c r="CH288" s="209"/>
      <c r="CI288" s="256"/>
      <c r="CJ288" s="208"/>
      <c r="CK288" s="208"/>
      <c r="CL288" s="254"/>
      <c r="CM288" s="209"/>
      <c r="CN288" s="254"/>
      <c r="CO288" s="28"/>
      <c r="CP288" s="28"/>
      <c r="CQ288" s="28"/>
      <c r="CR288" s="28"/>
      <c r="CS288" s="28"/>
      <c r="CT288" s="28"/>
      <c r="CU288" s="28"/>
      <c r="CV288" s="28"/>
    </row>
    <row r="289" spans="1:100" ht="12" customHeight="1" x14ac:dyDescent="0.2">
      <c r="A289" s="200" t="s">
        <v>442</v>
      </c>
      <c r="B289" s="118">
        <v>0</v>
      </c>
      <c r="C289" s="236">
        <f t="shared" si="151"/>
        <v>195.57395772013814</v>
      </c>
      <c r="D289" s="237">
        <f t="shared" si="152"/>
        <v>4.9876863222816166</v>
      </c>
      <c r="E289" s="238">
        <f t="shared" si="153"/>
        <v>2847.4494093161429</v>
      </c>
      <c r="F289" s="239">
        <f>G186-AB186/2</f>
        <v>918.6089804927667</v>
      </c>
      <c r="G289" s="154">
        <f>G288</f>
        <v>0.30322580645161296</v>
      </c>
      <c r="H289" s="149">
        <f t="shared" si="93"/>
        <v>0</v>
      </c>
      <c r="I289" s="240">
        <f t="shared" si="94"/>
        <v>918.6089804927667</v>
      </c>
      <c r="J289" s="154">
        <f t="shared" si="95"/>
        <v>0.30153017439421526</v>
      </c>
      <c r="K289" s="241">
        <f t="shared" si="96"/>
        <v>918.6089804927667</v>
      </c>
      <c r="L289" s="150">
        <f t="shared" si="97"/>
        <v>1.2792279189689428</v>
      </c>
      <c r="M289" s="150">
        <f t="shared" si="98"/>
        <v>7.0788944121625184</v>
      </c>
      <c r="N289" s="152">
        <f t="shared" si="99"/>
        <v>4.6139397897683043E-5</v>
      </c>
      <c r="O289" s="152">
        <f t="shared" si="154"/>
        <v>350.97716408624325</v>
      </c>
      <c r="P289" s="153">
        <f t="shared" si="100"/>
        <v>0.1823480458240688</v>
      </c>
      <c r="Q289" s="154">
        <f t="shared" si="101"/>
        <v>0</v>
      </c>
      <c r="R289" s="155">
        <f t="shared" si="102"/>
        <v>0.71173697028226568</v>
      </c>
      <c r="S289" s="154">
        <f t="shared" si="103"/>
        <v>7.6194833044292337E-2</v>
      </c>
      <c r="T289" s="148">
        <v>0</v>
      </c>
      <c r="U289" s="148">
        <v>0</v>
      </c>
      <c r="V289" s="154">
        <f t="shared" si="106"/>
        <v>0</v>
      </c>
      <c r="W289" s="154">
        <f t="shared" si="107"/>
        <v>0</v>
      </c>
      <c r="X289" s="154">
        <f t="shared" si="108"/>
        <v>0</v>
      </c>
      <c r="Y289" s="112"/>
      <c r="Z289" s="242">
        <f t="shared" si="109"/>
        <v>0</v>
      </c>
      <c r="AA289" s="235">
        <f t="shared" si="110"/>
        <v>2.3741005223219829</v>
      </c>
      <c r="AB289" s="236">
        <f t="shared" si="111"/>
        <v>195.57395772013814</v>
      </c>
      <c r="AC289" s="243">
        <f t="shared" si="112"/>
        <v>0.31510608845336668</v>
      </c>
      <c r="AD289" s="243">
        <f t="shared" si="113"/>
        <v>19.627250955636427</v>
      </c>
      <c r="AE289" s="244">
        <f t="shared" si="114"/>
        <v>1.5935358277227184E-5</v>
      </c>
      <c r="AF289" s="244">
        <f t="shared" si="115"/>
        <v>13220.578697055069</v>
      </c>
      <c r="AG289" s="245">
        <f t="shared" si="116"/>
        <v>4.3909298979133114E-2</v>
      </c>
      <c r="AH289" s="244">
        <f t="shared" si="117"/>
        <v>0</v>
      </c>
      <c r="AI289" s="246">
        <f t="shared" si="118"/>
        <v>1.0138261418623307</v>
      </c>
      <c r="AJ289" s="235">
        <f t="shared" si="119"/>
        <v>3.4782537001382285E-2</v>
      </c>
      <c r="AK289" s="235">
        <f t="shared" si="120"/>
        <v>1.0526552029981915</v>
      </c>
      <c r="AL289" s="235">
        <v>1</v>
      </c>
      <c r="AM289" s="235">
        <f t="shared" si="122"/>
        <v>45.826174315676226</v>
      </c>
      <c r="AN289" s="235">
        <f t="shared" si="123"/>
        <v>352.55034145067754</v>
      </c>
      <c r="AO289" s="235">
        <f t="shared" si="124"/>
        <v>5.0075435069788039</v>
      </c>
      <c r="AP289" s="247">
        <f t="shared" si="155"/>
        <v>397.27579566865734</v>
      </c>
      <c r="AQ289" s="248">
        <f t="shared" si="125"/>
        <v>0</v>
      </c>
      <c r="AR289" s="94">
        <f t="shared" si="126"/>
        <v>0</v>
      </c>
      <c r="AS289" s="249">
        <f t="shared" si="127"/>
        <v>0</v>
      </c>
      <c r="AT289" s="247">
        <f t="shared" si="128"/>
        <v>398.27579566865734</v>
      </c>
      <c r="AU289" s="248">
        <f t="shared" si="129"/>
        <v>0</v>
      </c>
      <c r="AV289" s="94">
        <f t="shared" si="130"/>
        <v>0</v>
      </c>
      <c r="AW289" s="249">
        <f t="shared" si="131"/>
        <v>0</v>
      </c>
      <c r="AX289" s="247"/>
      <c r="AY289" s="249">
        <v>0</v>
      </c>
      <c r="AZ289" s="238">
        <f t="shared" si="134"/>
        <v>2847.4494093161429</v>
      </c>
      <c r="BA289" s="250">
        <f t="shared" si="135"/>
        <v>195.57263966800062</v>
      </c>
      <c r="BB289" s="235">
        <f t="shared" si="136"/>
        <v>192.52755279113074</v>
      </c>
      <c r="BC289" s="247">
        <f t="shared" si="137"/>
        <v>0</v>
      </c>
      <c r="BD289" s="248">
        <f t="shared" si="138"/>
        <v>0</v>
      </c>
      <c r="BE289" s="94">
        <f t="shared" si="139"/>
        <v>0</v>
      </c>
      <c r="BF289" s="249">
        <f t="shared" si="140"/>
        <v>0</v>
      </c>
      <c r="BG289" s="247">
        <f t="shared" si="141"/>
        <v>1</v>
      </c>
      <c r="BH289" s="248">
        <f t="shared" si="142"/>
        <v>0</v>
      </c>
      <c r="BI289" s="94">
        <f t="shared" si="143"/>
        <v>0</v>
      </c>
      <c r="BJ289" s="249">
        <f t="shared" si="144"/>
        <v>0</v>
      </c>
      <c r="BK289" s="247">
        <v>0</v>
      </c>
      <c r="BL289" s="248">
        <f t="shared" si="146"/>
        <v>0</v>
      </c>
      <c r="BM289" s="136">
        <f t="shared" si="147"/>
        <v>0</v>
      </c>
      <c r="BN289" s="250">
        <f t="shared" si="148"/>
        <v>0</v>
      </c>
      <c r="BO289" s="236">
        <f t="shared" si="149"/>
        <v>2847.4494093161429</v>
      </c>
      <c r="BP289" s="251">
        <f t="shared" si="150"/>
        <v>195.57263966800062</v>
      </c>
      <c r="BY289" s="254"/>
      <c r="BZ289" s="254"/>
      <c r="CA289" s="253"/>
      <c r="CB289" s="256"/>
      <c r="CC289" s="256"/>
      <c r="CD289" s="257"/>
      <c r="CE289" s="255"/>
      <c r="CF289" s="255"/>
      <c r="CG289" s="126"/>
      <c r="CH289" s="209"/>
      <c r="CI289" s="256"/>
      <c r="CJ289" s="208"/>
      <c r="CK289" s="208"/>
      <c r="CL289" s="254"/>
      <c r="CM289" s="209"/>
      <c r="CN289" s="254"/>
      <c r="CO289" s="28"/>
      <c r="CP289" s="28"/>
      <c r="CQ289" s="28"/>
      <c r="CR289" s="28"/>
      <c r="CS289" s="28"/>
      <c r="CT289" s="28"/>
      <c r="CU289" s="28"/>
      <c r="CV289" s="28"/>
    </row>
    <row r="290" spans="1:100" ht="12" customHeight="1" x14ac:dyDescent="0.2">
      <c r="C290" s="258"/>
      <c r="D290" s="208"/>
      <c r="E290" s="259"/>
      <c r="F290" s="165"/>
      <c r="T290" s="9">
        <v>0</v>
      </c>
      <c r="U290" s="9">
        <v>0</v>
      </c>
      <c r="AQ290" s="166"/>
      <c r="AU290" s="166"/>
      <c r="BE290" s="260"/>
      <c r="BF290" s="102"/>
      <c r="BG290" s="120"/>
      <c r="BH290" s="102"/>
      <c r="BI290" s="261"/>
      <c r="BJ290" s="119"/>
      <c r="BK290" s="261"/>
      <c r="BL290" s="102"/>
      <c r="BM290" s="119"/>
      <c r="BN290" s="123"/>
      <c r="BO290" s="123"/>
      <c r="BP290" s="123"/>
      <c r="BQ290" s="108"/>
      <c r="BR290" s="108"/>
      <c r="BS290" s="124"/>
      <c r="BT290" s="108"/>
      <c r="BU290" s="260"/>
      <c r="BV290" s="102"/>
      <c r="BW290" s="120"/>
      <c r="BX290" s="120"/>
      <c r="BY290" s="254"/>
      <c r="BZ290" s="254"/>
      <c r="CA290" s="253"/>
      <c r="CB290" s="256"/>
      <c r="CC290" s="256"/>
      <c r="CD290" s="257"/>
      <c r="CE290" s="255"/>
      <c r="CF290" s="255"/>
      <c r="CG290" s="126"/>
      <c r="CH290" s="209"/>
      <c r="CI290" s="256"/>
      <c r="CJ290" s="208"/>
      <c r="CK290" s="208"/>
      <c r="CL290" s="254"/>
      <c r="CM290" s="209"/>
      <c r="CN290" s="254"/>
      <c r="CO290" s="28"/>
      <c r="CP290" s="28"/>
      <c r="CQ290" s="28"/>
      <c r="CR290" s="28"/>
      <c r="CS290" s="28"/>
      <c r="CT290" s="28"/>
      <c r="CU290" s="28"/>
      <c r="CV290" s="28"/>
    </row>
    <row r="291" spans="1:100" ht="12" customHeight="1" x14ac:dyDescent="0.2">
      <c r="A291" s="187" t="s">
        <v>443</v>
      </c>
      <c r="B291" s="14"/>
      <c r="E291" s="119"/>
      <c r="F291" s="118"/>
      <c r="G291" s="14"/>
      <c r="H291" s="1"/>
      <c r="I291" s="102"/>
      <c r="J291" s="119"/>
      <c r="K291" s="108"/>
      <c r="L291" s="108"/>
      <c r="M291" s="260"/>
      <c r="N291" s="102"/>
      <c r="O291" s="120"/>
      <c r="P291" s="120"/>
      <c r="Q291" s="175"/>
      <c r="R291" s="175"/>
      <c r="S291" s="104"/>
      <c r="T291" s="14"/>
      <c r="U291" s="14"/>
      <c r="V291" s="175"/>
      <c r="W291" s="14"/>
      <c r="X291" s="9" t="s">
        <v>412</v>
      </c>
      <c r="AI291" s="1"/>
      <c r="AJ291" s="1"/>
      <c r="AK291" s="1"/>
      <c r="AL291" s="1"/>
      <c r="AM291" s="1"/>
      <c r="AU291" s="1"/>
      <c r="AV291" s="1"/>
      <c r="AW291" s="1"/>
      <c r="AZ291" s="1"/>
      <c r="BB291" s="215" t="s">
        <v>413</v>
      </c>
      <c r="BC291" s="216"/>
      <c r="BK291" s="261"/>
      <c r="BL291" s="102"/>
      <c r="BM291" s="119"/>
      <c r="BN291" s="123"/>
      <c r="BO291" s="123"/>
      <c r="BP291" s="123"/>
      <c r="BQ291" s="108"/>
      <c r="BR291" s="108"/>
      <c r="BS291" s="124"/>
      <c r="BT291" s="108"/>
      <c r="BU291" s="260"/>
      <c r="BV291" s="102"/>
      <c r="BW291" s="120"/>
      <c r="BX291" s="120"/>
      <c r="BY291" s="254"/>
      <c r="BZ291" s="254"/>
      <c r="CA291" s="253"/>
      <c r="CB291" s="256"/>
      <c r="CC291" s="256"/>
      <c r="CD291" s="257"/>
      <c r="CE291" s="255"/>
      <c r="CF291" s="255"/>
      <c r="CG291" s="126"/>
      <c r="CH291" s="209"/>
      <c r="CI291" s="256"/>
      <c r="CJ291" s="208"/>
      <c r="CK291" s="208"/>
      <c r="CL291" s="254"/>
      <c r="CM291" s="209"/>
      <c r="CN291" s="254"/>
      <c r="CO291" s="28"/>
      <c r="CP291" s="28"/>
      <c r="CQ291" s="28"/>
      <c r="CR291" s="28"/>
      <c r="CS291" s="28"/>
      <c r="CT291" s="28"/>
      <c r="CU291" s="28"/>
      <c r="CV291" s="28"/>
    </row>
    <row r="292" spans="1:100" ht="12" customHeight="1" x14ac:dyDescent="0.2">
      <c r="A292" s="187"/>
      <c r="B292" s="258"/>
      <c r="E292" s="262"/>
      <c r="F292" s="118"/>
      <c r="G292" s="109"/>
      <c r="H292" s="112"/>
      <c r="I292" s="112" t="s">
        <v>195</v>
      </c>
      <c r="J292" s="263" t="s">
        <v>444</v>
      </c>
      <c r="K292" s="264"/>
      <c r="L292" s="264"/>
      <c r="M292" s="246"/>
      <c r="N292" s="263"/>
      <c r="O292" s="235"/>
      <c r="P292" s="235"/>
      <c r="Q292" s="265"/>
      <c r="R292" s="265"/>
      <c r="S292" s="266"/>
      <c r="T292" s="217"/>
      <c r="U292" s="217"/>
      <c r="V292" s="265"/>
      <c r="W292" s="217"/>
      <c r="X292" s="109" t="s">
        <v>415</v>
      </c>
      <c r="AC292" s="109" t="s">
        <v>416</v>
      </c>
      <c r="AG292" s="1"/>
      <c r="AH292" s="109" t="s">
        <v>445</v>
      </c>
      <c r="AI292" s="1"/>
      <c r="AJ292" s="219" t="s">
        <v>418</v>
      </c>
      <c r="AK292" s="217"/>
      <c r="AL292" s="217"/>
      <c r="AM292" s="109" t="s">
        <v>445</v>
      </c>
      <c r="AQ292" s="1"/>
      <c r="AR292" s="109" t="s">
        <v>416</v>
      </c>
      <c r="AV292" s="1"/>
      <c r="AW292" s="109" t="s">
        <v>445</v>
      </c>
      <c r="BB292" s="217"/>
      <c r="BC292" s="220"/>
      <c r="BK292" s="261"/>
      <c r="BL292" s="102"/>
      <c r="BM292" s="119"/>
      <c r="BN292" s="123"/>
      <c r="BO292" s="123"/>
      <c r="BP292" s="123"/>
      <c r="BQ292" s="108"/>
      <c r="BR292" s="108"/>
      <c r="BS292" s="124"/>
      <c r="BT292" s="108"/>
      <c r="BU292" s="260"/>
      <c r="BV292" s="102"/>
      <c r="BW292" s="120"/>
      <c r="BX292" s="120"/>
      <c r="BY292" s="254"/>
      <c r="BZ292" s="254"/>
      <c r="CA292" s="253"/>
      <c r="CB292" s="256"/>
      <c r="CC292" s="256"/>
      <c r="CD292" s="257"/>
      <c r="CE292" s="255"/>
      <c r="CF292" s="255"/>
      <c r="CG292" s="126"/>
      <c r="CH292" s="209"/>
      <c r="CI292" s="256"/>
      <c r="CJ292" s="208"/>
      <c r="CK292" s="208"/>
      <c r="CL292" s="254"/>
      <c r="CM292" s="209"/>
      <c r="CN292" s="254"/>
      <c r="CO292" s="28"/>
      <c r="CP292" s="28"/>
      <c r="CQ292" s="28"/>
      <c r="CR292" s="28"/>
      <c r="CS292" s="28"/>
      <c r="CT292" s="28"/>
      <c r="CU292" s="28"/>
      <c r="CV292" s="28"/>
    </row>
    <row r="293" spans="1:100" ht="12" customHeight="1" x14ac:dyDescent="0.2">
      <c r="A293" s="200" t="s">
        <v>350</v>
      </c>
      <c r="B293" s="112" t="s">
        <v>426</v>
      </c>
      <c r="C293" s="227" t="s">
        <v>426</v>
      </c>
      <c r="D293" s="227" t="s">
        <v>426</v>
      </c>
      <c r="E293" s="262" t="s">
        <v>446</v>
      </c>
      <c r="F293" s="112" t="s">
        <v>194</v>
      </c>
      <c r="G293" s="109"/>
      <c r="H293" s="112"/>
      <c r="I293" s="112" t="s">
        <v>243</v>
      </c>
      <c r="J293" s="225" t="s">
        <v>197</v>
      </c>
      <c r="K293" s="225"/>
      <c r="L293" s="225"/>
      <c r="M293" s="225"/>
      <c r="N293" s="225"/>
      <c r="O293" s="217"/>
      <c r="P293" s="225" t="s">
        <v>199</v>
      </c>
      <c r="Q293" s="229"/>
      <c r="R293" s="225" t="s">
        <v>200</v>
      </c>
      <c r="S293" s="225"/>
      <c r="T293" s="225" t="s">
        <v>447</v>
      </c>
      <c r="U293" s="225" t="s">
        <v>257</v>
      </c>
      <c r="V293" s="225" t="s">
        <v>205</v>
      </c>
      <c r="W293" s="225" t="s">
        <v>438</v>
      </c>
      <c r="X293" s="109" t="s">
        <v>416</v>
      </c>
      <c r="AB293" s="225" t="s">
        <v>177</v>
      </c>
      <c r="AC293" s="109" t="s">
        <v>424</v>
      </c>
      <c r="AF293" s="137"/>
      <c r="AG293" s="225" t="s">
        <v>177</v>
      </c>
      <c r="AH293" s="109" t="s">
        <v>416</v>
      </c>
      <c r="AI293" s="225" t="s">
        <v>177</v>
      </c>
      <c r="AJ293" s="218"/>
      <c r="AK293" s="217"/>
      <c r="AL293" s="225" t="s">
        <v>180</v>
      </c>
      <c r="AM293" s="109" t="s">
        <v>416</v>
      </c>
      <c r="AP293" s="137"/>
      <c r="AQ293" s="225" t="s">
        <v>177</v>
      </c>
      <c r="AR293" s="109" t="s">
        <v>424</v>
      </c>
      <c r="AU293" s="137"/>
      <c r="AV293" s="225" t="s">
        <v>177</v>
      </c>
      <c r="AW293" s="109" t="s">
        <v>416</v>
      </c>
      <c r="AZ293" s="137"/>
      <c r="BA293" s="226" t="s">
        <v>448</v>
      </c>
      <c r="BB293" s="217"/>
      <c r="BC293" s="220"/>
      <c r="BK293" s="261"/>
      <c r="BL293" s="102"/>
      <c r="BM293" s="119"/>
      <c r="BN293" s="123"/>
      <c r="BO293" s="123"/>
      <c r="BP293" s="123"/>
      <c r="BQ293" s="108"/>
      <c r="BR293" s="108"/>
      <c r="BS293" s="124"/>
      <c r="BT293" s="108"/>
      <c r="BU293" s="260"/>
      <c r="BV293" s="102"/>
      <c r="BW293" s="120"/>
      <c r="BX293" s="120"/>
      <c r="BY293" s="254"/>
      <c r="BZ293" s="254"/>
      <c r="CA293" s="253"/>
      <c r="CB293" s="256"/>
      <c r="CC293" s="256"/>
      <c r="CD293" s="257"/>
      <c r="CE293" s="255"/>
      <c r="CF293" s="255"/>
      <c r="CG293" s="126"/>
      <c r="CH293" s="209"/>
      <c r="CI293" s="256"/>
      <c r="CJ293" s="208"/>
      <c r="CK293" s="208"/>
      <c r="CL293" s="254"/>
      <c r="CM293" s="209"/>
      <c r="CN293" s="254"/>
      <c r="CO293" s="28"/>
      <c r="CP293" s="28"/>
      <c r="CQ293" s="28"/>
      <c r="CR293" s="28"/>
      <c r="CS293" s="28"/>
      <c r="CT293" s="28"/>
      <c r="CU293" s="28"/>
      <c r="CV293" s="28"/>
    </row>
    <row r="294" spans="1:100" ht="12" customHeight="1" x14ac:dyDescent="0.2">
      <c r="A294" s="204" t="s">
        <v>352</v>
      </c>
      <c r="B294" s="112" t="s">
        <v>214</v>
      </c>
      <c r="C294" s="227" t="s">
        <v>433</v>
      </c>
      <c r="D294" s="227" t="s">
        <v>432</v>
      </c>
      <c r="E294" s="262" t="s">
        <v>47</v>
      </c>
      <c r="F294" s="115" t="s">
        <v>243</v>
      </c>
      <c r="G294" s="115" t="s">
        <v>244</v>
      </c>
      <c r="H294" s="115" t="s">
        <v>245</v>
      </c>
      <c r="I294" s="112" t="s">
        <v>61</v>
      </c>
      <c r="J294" s="225" t="s">
        <v>247</v>
      </c>
      <c r="K294" s="229" t="s">
        <v>248</v>
      </c>
      <c r="L294" s="229" t="s">
        <v>249</v>
      </c>
      <c r="M294" s="225" t="s">
        <v>250</v>
      </c>
      <c r="N294" s="229" t="s">
        <v>251</v>
      </c>
      <c r="O294" s="229" t="s">
        <v>252</v>
      </c>
      <c r="P294" s="229" t="s">
        <v>253</v>
      </c>
      <c r="Q294" s="229" t="s">
        <v>254</v>
      </c>
      <c r="R294" s="225" t="s">
        <v>255</v>
      </c>
      <c r="S294" s="225" t="s">
        <v>256</v>
      </c>
      <c r="T294" s="225" t="s">
        <v>257</v>
      </c>
      <c r="U294" s="225" t="s">
        <v>260</v>
      </c>
      <c r="V294" s="225" t="s">
        <v>262</v>
      </c>
      <c r="W294" s="225" t="s">
        <v>449</v>
      </c>
      <c r="X294" s="109" t="s">
        <v>424</v>
      </c>
      <c r="Y294" s="131" t="s">
        <v>450</v>
      </c>
      <c r="Z294" s="131" t="s">
        <v>431</v>
      </c>
      <c r="AA294" s="131" t="s">
        <v>361</v>
      </c>
      <c r="AB294" s="225" t="s">
        <v>430</v>
      </c>
      <c r="AC294" s="109" t="s">
        <v>196</v>
      </c>
      <c r="AD294" s="131" t="s">
        <v>450</v>
      </c>
      <c r="AE294" s="131" t="s">
        <v>431</v>
      </c>
      <c r="AF294" s="131" t="s">
        <v>361</v>
      </c>
      <c r="AG294" s="225" t="s">
        <v>430</v>
      </c>
      <c r="AH294" s="109" t="s">
        <v>424</v>
      </c>
      <c r="AI294" s="225" t="s">
        <v>430</v>
      </c>
      <c r="AJ294" s="225" t="s">
        <v>432</v>
      </c>
      <c r="AK294" s="225" t="s">
        <v>196</v>
      </c>
      <c r="AL294" s="225" t="s">
        <v>196</v>
      </c>
      <c r="AM294" s="109" t="s">
        <v>424</v>
      </c>
      <c r="AN294" s="131" t="s">
        <v>450</v>
      </c>
      <c r="AO294" s="131" t="s">
        <v>431</v>
      </c>
      <c r="AP294" s="131" t="s">
        <v>361</v>
      </c>
      <c r="AQ294" s="225" t="s">
        <v>430</v>
      </c>
      <c r="AR294" s="109" t="s">
        <v>196</v>
      </c>
      <c r="AS294" s="131" t="s">
        <v>450</v>
      </c>
      <c r="AT294" s="131" t="s">
        <v>431</v>
      </c>
      <c r="AU294" s="131" t="s">
        <v>361</v>
      </c>
      <c r="AV294" s="225" t="s">
        <v>430</v>
      </c>
      <c r="AW294" s="109" t="s">
        <v>424</v>
      </c>
      <c r="AX294" s="131" t="s">
        <v>450</v>
      </c>
      <c r="AY294" s="131" t="s">
        <v>431</v>
      </c>
      <c r="AZ294" s="131" t="s">
        <v>361</v>
      </c>
      <c r="BA294" s="226" t="s">
        <v>205</v>
      </c>
      <c r="BB294" s="225" t="s">
        <v>432</v>
      </c>
      <c r="BC294" s="218"/>
      <c r="BK294" s="261"/>
      <c r="BL294" s="102"/>
      <c r="BM294" s="119"/>
      <c r="BN294" s="123"/>
      <c r="BO294" s="123"/>
      <c r="BP294" s="123"/>
      <c r="BQ294" s="108"/>
      <c r="BR294" s="108"/>
      <c r="BS294" s="124"/>
      <c r="BT294" s="108"/>
      <c r="BU294" s="260"/>
      <c r="BV294" s="102"/>
      <c r="BW294" s="120"/>
      <c r="BX294" s="120"/>
      <c r="BY294" s="254"/>
      <c r="BZ294" s="254"/>
      <c r="CA294" s="253"/>
      <c r="CB294" s="256"/>
      <c r="CC294" s="256"/>
      <c r="CD294" s="257"/>
      <c r="CE294" s="255"/>
      <c r="CF294" s="255"/>
      <c r="CG294" s="126"/>
      <c r="CH294" s="209"/>
      <c r="CI294" s="256"/>
      <c r="CJ294" s="208"/>
      <c r="CK294" s="208"/>
      <c r="CL294" s="254"/>
      <c r="CM294" s="209"/>
      <c r="CN294" s="254"/>
      <c r="CO294" s="28"/>
      <c r="CP294" s="28"/>
      <c r="CQ294" s="28"/>
      <c r="CR294" s="28"/>
      <c r="CS294" s="28"/>
      <c r="CT294" s="28"/>
      <c r="CU294" s="28"/>
      <c r="CV294" s="28"/>
    </row>
    <row r="295" spans="1:100" ht="12" customHeight="1" x14ac:dyDescent="0.2">
      <c r="A295" s="204" t="s">
        <v>354</v>
      </c>
      <c r="B295" s="112" t="s">
        <v>47</v>
      </c>
      <c r="C295" s="227" t="s">
        <v>317</v>
      </c>
      <c r="D295" s="227" t="s">
        <v>90</v>
      </c>
      <c r="E295" s="109"/>
      <c r="F295" s="115" t="s">
        <v>61</v>
      </c>
      <c r="G295" s="115" t="s">
        <v>271</v>
      </c>
      <c r="H295" s="115" t="s">
        <v>272</v>
      </c>
      <c r="I295" s="227"/>
      <c r="J295" s="229" t="s">
        <v>274</v>
      </c>
      <c r="K295" s="229" t="s">
        <v>275</v>
      </c>
      <c r="L295" s="229" t="s">
        <v>276</v>
      </c>
      <c r="M295" s="225" t="s">
        <v>277</v>
      </c>
      <c r="N295" s="229" t="s">
        <v>278</v>
      </c>
      <c r="O295" s="229" t="s">
        <v>279</v>
      </c>
      <c r="P295" s="229" t="s">
        <v>280</v>
      </c>
      <c r="Q295" s="229" t="s">
        <v>278</v>
      </c>
      <c r="R295" s="225" t="s">
        <v>281</v>
      </c>
      <c r="S295" s="225" t="s">
        <v>282</v>
      </c>
      <c r="T295" s="225" t="s">
        <v>283</v>
      </c>
      <c r="U295" s="225"/>
      <c r="V295" s="225" t="s">
        <v>285</v>
      </c>
      <c r="W295" s="225" t="s">
        <v>451</v>
      </c>
      <c r="X295" s="109" t="s">
        <v>196</v>
      </c>
      <c r="Y295" s="137" t="s">
        <v>437</v>
      </c>
      <c r="Z295" s="137" t="s">
        <v>437</v>
      </c>
      <c r="AA295" s="137" t="s">
        <v>437</v>
      </c>
      <c r="AB295" s="225" t="s">
        <v>452</v>
      </c>
      <c r="AC295" s="227" t="s">
        <v>439</v>
      </c>
      <c r="AD295" s="137" t="s">
        <v>437</v>
      </c>
      <c r="AE295" s="137" t="s">
        <v>437</v>
      </c>
      <c r="AF295" s="137" t="s">
        <v>437</v>
      </c>
      <c r="AG295" s="225" t="s">
        <v>452</v>
      </c>
      <c r="AH295" s="109" t="s">
        <v>196</v>
      </c>
      <c r="AI295" s="225" t="s">
        <v>452</v>
      </c>
      <c r="AJ295" s="225"/>
      <c r="AK295" s="225"/>
      <c r="AL295" s="225" t="s">
        <v>13</v>
      </c>
      <c r="AM295" s="109" t="s">
        <v>196</v>
      </c>
      <c r="AN295" s="137" t="s">
        <v>437</v>
      </c>
      <c r="AO295" s="137" t="s">
        <v>437</v>
      </c>
      <c r="AP295" s="137" t="s">
        <v>437</v>
      </c>
      <c r="AQ295" s="225" t="s">
        <v>452</v>
      </c>
      <c r="AR295" s="227" t="s">
        <v>439</v>
      </c>
      <c r="AS295" s="137" t="s">
        <v>437</v>
      </c>
      <c r="AT295" s="137" t="s">
        <v>437</v>
      </c>
      <c r="AU295" s="137" t="s">
        <v>437</v>
      </c>
      <c r="AV295" s="225" t="s">
        <v>452</v>
      </c>
      <c r="AW295" s="109" t="s">
        <v>196</v>
      </c>
      <c r="AX295" s="137" t="s">
        <v>437</v>
      </c>
      <c r="AY295" s="137" t="s">
        <v>437</v>
      </c>
      <c r="AZ295" s="137" t="s">
        <v>437</v>
      </c>
      <c r="BA295" s="225" t="s">
        <v>438</v>
      </c>
      <c r="BB295" s="225"/>
      <c r="BC295" s="228" t="s">
        <v>196</v>
      </c>
      <c r="BK295" s="261"/>
      <c r="BL295" s="102"/>
      <c r="BM295" s="119"/>
      <c r="BN295" s="123"/>
      <c r="BO295" s="123"/>
      <c r="BP295" s="123"/>
      <c r="BQ295" s="108"/>
      <c r="BR295" s="108"/>
      <c r="BS295" s="124"/>
      <c r="BT295" s="108"/>
      <c r="BU295" s="260"/>
      <c r="BV295" s="102"/>
      <c r="BW295" s="120"/>
      <c r="BX295" s="120"/>
      <c r="BY295" s="254"/>
      <c r="BZ295" s="254"/>
      <c r="CA295" s="253"/>
      <c r="CB295" s="256"/>
      <c r="CC295" s="256"/>
      <c r="CD295" s="257"/>
      <c r="CE295" s="255"/>
      <c r="CF295" s="255"/>
      <c r="CG295" s="126"/>
      <c r="CH295" s="209"/>
      <c r="CI295" s="256"/>
      <c r="CJ295" s="208"/>
      <c r="CK295" s="208"/>
      <c r="CL295" s="254"/>
      <c r="CM295" s="209"/>
      <c r="CN295" s="254"/>
      <c r="CO295" s="28"/>
      <c r="CP295" s="28"/>
      <c r="CQ295" s="28"/>
      <c r="CR295" s="28"/>
      <c r="CS295" s="28"/>
      <c r="CT295" s="28"/>
      <c r="CU295" s="28"/>
      <c r="CV295" s="28"/>
    </row>
    <row r="296" spans="1:100" ht="12" customHeight="1" x14ac:dyDescent="0.2">
      <c r="A296" s="204"/>
      <c r="B296" s="112"/>
      <c r="C296" s="227"/>
      <c r="D296" s="227"/>
      <c r="E296" s="109"/>
      <c r="F296" s="115"/>
      <c r="G296" s="115"/>
      <c r="H296" s="115"/>
      <c r="I296" s="267">
        <f>B252</f>
        <v>0.30322580645161296</v>
      </c>
      <c r="J296" s="229"/>
      <c r="K296" s="229"/>
      <c r="L296" s="229"/>
      <c r="M296" s="225"/>
      <c r="N296" s="229"/>
      <c r="O296" s="229"/>
      <c r="P296" s="229"/>
      <c r="Q296" s="229"/>
      <c r="R296" s="225"/>
      <c r="S296" s="235">
        <f>IF(AF231&lt;2500,($B$253/1000/$I296)^0.333333,1+($B$253/1000/I296)^0.7)</f>
        <v>0.24612919345853432</v>
      </c>
      <c r="T296" s="235">
        <v>1</v>
      </c>
      <c r="U296" s="225"/>
      <c r="V296" s="225"/>
      <c r="W296" s="225"/>
      <c r="X296" s="109" t="s">
        <v>273</v>
      </c>
      <c r="Y296" s="137" t="s">
        <v>286</v>
      </c>
      <c r="Z296" s="137" t="s">
        <v>286</v>
      </c>
      <c r="AA296" s="137" t="s">
        <v>286</v>
      </c>
      <c r="AB296" s="225" t="s">
        <v>286</v>
      </c>
      <c r="AC296" s="109" t="s">
        <v>273</v>
      </c>
      <c r="AD296" s="137" t="s">
        <v>286</v>
      </c>
      <c r="AE296" s="137" t="s">
        <v>286</v>
      </c>
      <c r="AF296" s="137" t="s">
        <v>286</v>
      </c>
      <c r="AG296" s="225" t="s">
        <v>286</v>
      </c>
      <c r="AH296" s="109" t="s">
        <v>273</v>
      </c>
      <c r="AI296" s="225" t="s">
        <v>286</v>
      </c>
      <c r="AJ296" s="225" t="s">
        <v>90</v>
      </c>
      <c r="AK296" s="225" t="s">
        <v>13</v>
      </c>
      <c r="AL296" s="235">
        <f>B297</f>
        <v>195.57395772013814</v>
      </c>
      <c r="AM296" s="109" t="s">
        <v>273</v>
      </c>
      <c r="AN296" s="137" t="s">
        <v>286</v>
      </c>
      <c r="AO296" s="137" t="s">
        <v>286</v>
      </c>
      <c r="AP296" s="137" t="s">
        <v>286</v>
      </c>
      <c r="AQ296" s="225" t="s">
        <v>286</v>
      </c>
      <c r="AR296" s="109" t="s">
        <v>273</v>
      </c>
      <c r="AS296" s="137" t="s">
        <v>286</v>
      </c>
      <c r="AT296" s="137" t="s">
        <v>286</v>
      </c>
      <c r="AU296" s="137" t="s">
        <v>286</v>
      </c>
      <c r="AV296" s="225" t="s">
        <v>286</v>
      </c>
      <c r="AW296" s="109" t="s">
        <v>273</v>
      </c>
      <c r="AX296" s="137" t="s">
        <v>286</v>
      </c>
      <c r="AY296" s="137" t="s">
        <v>286</v>
      </c>
      <c r="AZ296" s="137" t="s">
        <v>286</v>
      </c>
      <c r="BA296" s="225" t="s">
        <v>286</v>
      </c>
      <c r="BB296" s="225" t="s">
        <v>90</v>
      </c>
      <c r="BC296" s="228" t="s">
        <v>13</v>
      </c>
      <c r="BK296" s="261"/>
      <c r="BL296" s="102"/>
      <c r="BM296" s="119"/>
      <c r="BN296" s="123"/>
      <c r="BO296" s="123"/>
      <c r="BP296" s="123"/>
      <c r="BQ296" s="108"/>
      <c r="BR296" s="108"/>
      <c r="BS296" s="124"/>
      <c r="BT296" s="108"/>
      <c r="BU296" s="260"/>
      <c r="BV296" s="102"/>
      <c r="BW296" s="120"/>
      <c r="BX296" s="120"/>
      <c r="BY296" s="254"/>
      <c r="BZ296" s="254"/>
      <c r="CA296" s="253"/>
      <c r="CB296" s="256"/>
      <c r="CC296" s="256"/>
      <c r="CD296" s="257"/>
      <c r="CE296" s="255"/>
      <c r="CF296" s="255"/>
      <c r="CG296" s="126"/>
      <c r="CH296" s="209"/>
      <c r="CI296" s="256"/>
      <c r="CJ296" s="208"/>
      <c r="CK296" s="208"/>
      <c r="CL296" s="254"/>
      <c r="CM296" s="209"/>
      <c r="CN296" s="254"/>
      <c r="CO296" s="28"/>
      <c r="CP296" s="28"/>
      <c r="CQ296" s="28"/>
      <c r="CR296" s="28"/>
      <c r="CS296" s="28"/>
      <c r="CT296" s="28"/>
      <c r="CU296" s="28"/>
      <c r="CV296" s="28"/>
    </row>
    <row r="297" spans="1:100" ht="12" customHeight="1" x14ac:dyDescent="0.2">
      <c r="A297" s="200" t="s">
        <v>453</v>
      </c>
      <c r="B297" s="268">
        <f>C289</f>
        <v>195.57395772013814</v>
      </c>
      <c r="C297" s="269">
        <f>D289</f>
        <v>4.9876863222816166</v>
      </c>
      <c r="D297" s="270">
        <f>E289</f>
        <v>2847.4494093161429</v>
      </c>
      <c r="E297" s="262">
        <f>BK288</f>
        <v>397.27579566865734</v>
      </c>
      <c r="F297" s="161">
        <f>B238/5/1000</f>
        <v>2.0000000000000001E-4</v>
      </c>
      <c r="G297" s="118">
        <v>0</v>
      </c>
      <c r="H297" s="118">
        <f t="shared" ref="H297:H307" si="156">IF(F297=0,G297,O297*F297/B$253*1000)</f>
        <v>1.9423736609366152E-3</v>
      </c>
      <c r="I297" s="267">
        <f>I296+F297</f>
        <v>0.30342580645161293</v>
      </c>
      <c r="J297" s="235">
        <f t="shared" ref="J297:J307" si="157">IF(D297&lt;(2677.2*C297^0.0161),1/(1.7023*C297^-0.9421),1/((0.004625-(1451200*(B297+273)^-4.0097)*C297)*(B297+273)/C297))</f>
        <v>2.3741005223219829</v>
      </c>
      <c r="K297" s="243">
        <f t="shared" ref="K297:K307" si="158">B$251/J297*1000</f>
        <v>0.31510608845336668</v>
      </c>
      <c r="L297" s="243">
        <f t="shared" ref="L297:L307" si="159">K297/1000/(($B$253/1000)^2*PI()/4)</f>
        <v>19.627250955636427</v>
      </c>
      <c r="M297" s="244">
        <f t="shared" ref="M297:M307" si="160">0.00000000000025781*B297^2+0.000000041392*B297+0.0000078303</f>
        <v>1.5935358277227184E-5</v>
      </c>
      <c r="N297" s="244">
        <f t="shared" ref="N297:N307" si="161">4*B$251/PI()/M297/(B$253/1000)</f>
        <v>13220.578697055073</v>
      </c>
      <c r="O297" s="245">
        <f t="shared" ref="O297:O307" si="162">MAX(64/N297,(0.25/(LOG(B$255/3.7/B$253+5.74/N297^0.9))^2))</f>
        <v>4.3909298979133114E-2</v>
      </c>
      <c r="P297" s="244">
        <f t="shared" ref="P297:P307" si="163">$H297*J297*(L297^2)/2</f>
        <v>0.8882205954247393</v>
      </c>
      <c r="Q297" s="246">
        <f t="shared" ref="Q297:Q307" si="164">(0.00000055085*C297-0.0000000015237)*B297^2+(-0.00038915*C297-0.000099678)*B297+(0.068918*C297+0.96415)</f>
        <v>1.0138261418623307</v>
      </c>
      <c r="R297" s="235">
        <f t="shared" ref="R297:R307" si="165">(0.000000006099*C297+0.000000058342)*B297^2+(-0.000005447*C297+0.000072538)*B297+(0.001278*C297+0.01614)</f>
        <v>3.4782537001382285E-2</v>
      </c>
      <c r="S297" s="235">
        <f>IF(N297&lt;2500,($B$253/1000/$I297)^0.333333,1+($B$253/1000/I297)^0.7)</f>
        <v>1.0526309056005374</v>
      </c>
      <c r="T297" s="235">
        <f>(S297*I297-S296*I296)/(I297-I296)</f>
        <v>1223.8132912500628</v>
      </c>
      <c r="U297" s="235">
        <f t="shared" ref="U297:U307" si="166">IF($F297=0,0,(IF(N297&lt;2500,1.86*N297^0.33333*Q297^0.33333*T297*B$235,0.023*N297^0.8*Q297^0.4)))</f>
        <v>45.826174315676226</v>
      </c>
      <c r="V297" s="235">
        <f t="shared" ref="V297:V307" si="167">U297*R297/$B$253*1000</f>
        <v>352.55034145067754</v>
      </c>
      <c r="W297" s="271">
        <f t="shared" ref="W297:W307" si="168">V297*B$253*PI()/1000</f>
        <v>5.0075435069788039</v>
      </c>
      <c r="X297" s="247">
        <f>(B241-273+B297)/2</f>
        <v>625.69021305064928</v>
      </c>
      <c r="Y297" s="136">
        <f>0.000000056703*$B$244*$H$250*$H$249*(($B$240)^4-(X297+273)^4)*(($B$237/1000*PI()/2)*($I297-$I296))*($B$243/1000)^2*PI()/4</f>
        <v>2.4294690233730369E-2</v>
      </c>
      <c r="Z297" s="136">
        <f>0.000000056703*$H$248*(($B$241)^4-(X297+273)^4)*($B$237/1000*PI())*($I297-$I296)</f>
        <v>2.8003376494825895E-2</v>
      </c>
      <c r="AA297" s="136">
        <f t="shared" ref="AA297:AA307" si="169">Y297+Z297</f>
        <v>5.2298066728556261E-2</v>
      </c>
      <c r="AB297" s="250">
        <f t="shared" ref="AB297:AB307" si="170">$W297*($I297-$I296)*(X297-$B297)</f>
        <v>0.43076517232522021</v>
      </c>
      <c r="AC297" s="247">
        <f t="shared" ref="AC297:AC307" si="171">X297+1</f>
        <v>626.69021305064928</v>
      </c>
      <c r="AD297" s="136">
        <f>0.000000056703*$B$244*$H$250*$H$249*(($B$240)^4-(AC297+273)^4)*(($B$237/1000*PI()/2)*($I297-$I296))*($B$243/1000)^2*PI()/4</f>
        <v>2.4275755566719674E-2</v>
      </c>
      <c r="AE297" s="136">
        <f>0.000000056703*$H$248*(($B$241)^4-(AC297+273)^4)*($B$237/1000*PI())*($I297-$I296)</f>
        <v>2.7970345628812412E-2</v>
      </c>
      <c r="AF297" s="136">
        <f t="shared" ref="AF297:AF307" si="172">AD297+AE297</f>
        <v>5.2246101195532087E-2</v>
      </c>
      <c r="AG297" s="250">
        <f t="shared" ref="AG297:AG307" si="173">$W297*($I297-$I296)*(AC297-$B297)</f>
        <v>0.43176668102661586</v>
      </c>
      <c r="AH297" s="247">
        <f>X297+(AA297-AB297)/(AA297-AB297-(AF297-AG297))</f>
        <v>266.43405544267625</v>
      </c>
      <c r="AI297" s="250">
        <f>$W297*($I297-$I296)*(AH297-$B297)</f>
        <v>7.0967004450868038E-2</v>
      </c>
      <c r="AJ297" s="238">
        <f>D297+AI297/1000/B$251</f>
        <v>2847.5442731288645</v>
      </c>
      <c r="AK297" s="250">
        <f>IF(AJ297&lt;(2677.2*C297^0.0161),100.55*C297^0.2536,(AJ297+9.0877*C297-2486.6)/(0.0199*C297+1.9776))</f>
        <v>195.6183163351962</v>
      </c>
      <c r="AL297" s="235">
        <f>(AL296+AK297)/2</f>
        <v>195.59613702766717</v>
      </c>
      <c r="AM297" s="247">
        <f>AH297</f>
        <v>266.43405544267625</v>
      </c>
      <c r="AN297" s="136">
        <f>0.000000056703*$B$244*$H$250*$H$249*(($B$240)^4-(AM297+273)^4)*(($B$237/1000*PI()/2)*($I297-$I296))*($B$243/1000)^2*PI()/4</f>
        <v>2.7990385781864687E-2</v>
      </c>
      <c r="AO297" s="136">
        <f>0.000000056703*$H$248*(($B$241)^4-(AM297+273)^4)*($B$237/1000*PI())*($I297-$I296)</f>
        <v>3.4450388444285905E-2</v>
      </c>
      <c r="AP297" s="136">
        <f t="shared" ref="AP297:AP307" si="174">AN297+AO297</f>
        <v>6.2440774226150589E-2</v>
      </c>
      <c r="AQ297" s="250">
        <f>$W297*($I297-$I296)*(AM297-$B297)</f>
        <v>7.0967004450868038E-2</v>
      </c>
      <c r="AR297" s="247">
        <f>AM297+1</f>
        <v>267.43405544267625</v>
      </c>
      <c r="AS297" s="136">
        <f>0.000000056703*$B$244*$H$250*$H$249*(($B$240)^4-(AR297+273)^4)*(($B$237/1000*PI()/2)*($I297-$I296))*($B$243/1000)^2*PI()/4</f>
        <v>2.7986286334087146E-2</v>
      </c>
      <c r="AT297" s="136">
        <f>0.000000056703*$H$248*(($B$241)^4-(AR297+273)^4)*($B$237/1000*PI())*($I297-$I296)</f>
        <v>3.4443237100658226E-2</v>
      </c>
      <c r="AU297" s="136">
        <f t="shared" ref="AU297:AU307" si="175">AS297+AT297</f>
        <v>6.2429523434745372E-2</v>
      </c>
      <c r="AV297" s="250">
        <f>$W297*($I297-$I296)*(AR297-$B297)</f>
        <v>7.1968513152263686E-2</v>
      </c>
      <c r="AW297" s="247">
        <f>AM297+(AP297-AQ297)/(AP297-AQ297-(AU297-AV297))</f>
        <v>258.01524496958211</v>
      </c>
      <c r="AX297" s="136">
        <f>0.000000056703*$B$244*$H$250*$H$249*(($B$240)^4-(AW297+273)^4)*(($B$237/1000*PI()/2)*($I297-$I296))*($B$243/1000)^2*PI()/4</f>
        <v>2.802400508750812E-2</v>
      </c>
      <c r="AY297" s="136">
        <f>0.000000056703*$H$248*(($B$241)^4-(AW297+273)^4)*($B$237/1000*PI())*($I297-$I296)</f>
        <v>3.4509036150081142E-2</v>
      </c>
      <c r="AZ297" s="136">
        <f t="shared" ref="AZ297:AZ307" si="176">AX297+AY297</f>
        <v>6.2533041237589265E-2</v>
      </c>
      <c r="BA297" s="250">
        <f t="shared" ref="BA297:BA307" si="177">$W297*($I297-$I296)*(AW297-$B297)</f>
        <v>6.2535492506663418E-2</v>
      </c>
      <c r="BB297" s="236">
        <f>D297+(BA297+AZ297)/2/1000/$B$251</f>
        <v>2847.5330008250021</v>
      </c>
      <c r="BC297" s="251">
        <f>IF(BB297&lt;(2677.2*C297^0.0161),100.55*C297^0.2536,(BB297+9.0877*C297-2486.6)/(0.0199*C297+1.9776))</f>
        <v>195.61288875161847</v>
      </c>
      <c r="BK297" s="261"/>
      <c r="BL297" s="102"/>
      <c r="BM297" s="119"/>
      <c r="BN297" s="123"/>
      <c r="BO297" s="123"/>
      <c r="BP297" s="123"/>
      <c r="BQ297" s="108"/>
      <c r="BR297" s="108"/>
      <c r="BS297" s="124"/>
      <c r="BT297" s="108"/>
      <c r="BU297" s="260"/>
      <c r="BV297" s="102"/>
      <c r="BW297" s="120"/>
      <c r="BX297" s="120"/>
      <c r="BY297" s="254"/>
      <c r="BZ297" s="254"/>
      <c r="CA297" s="253"/>
      <c r="CB297" s="256"/>
      <c r="CC297" s="256"/>
      <c r="CD297" s="257"/>
      <c r="CE297" s="255"/>
      <c r="CF297" s="255"/>
      <c r="CG297" s="126"/>
      <c r="CH297" s="209"/>
      <c r="CI297" s="256"/>
      <c r="CJ297" s="208"/>
      <c r="CK297" s="208"/>
      <c r="CL297" s="254"/>
      <c r="CM297" s="209"/>
      <c r="CN297" s="254"/>
      <c r="CO297" s="28"/>
      <c r="CP297" s="28"/>
      <c r="CQ297" s="28"/>
      <c r="CR297" s="28"/>
      <c r="CS297" s="28"/>
      <c r="CT297" s="28"/>
      <c r="CU297" s="28"/>
      <c r="CV297" s="28"/>
    </row>
    <row r="298" spans="1:100" ht="12" customHeight="1" x14ac:dyDescent="0.2">
      <c r="A298" s="200" t="s">
        <v>453</v>
      </c>
      <c r="B298" s="268">
        <f>C289</f>
        <v>195.57395772013814</v>
      </c>
      <c r="C298" s="269">
        <f t="shared" ref="C298:C308" si="178">C297-P297/100000</f>
        <v>4.9876774400756627</v>
      </c>
      <c r="D298" s="270">
        <f t="shared" ref="D298:D308" si="179">BB297</f>
        <v>2847.5330008250021</v>
      </c>
      <c r="E298" s="262">
        <f t="shared" ref="E298:E307" si="180">AW297</f>
        <v>258.01524496958211</v>
      </c>
      <c r="F298" s="161">
        <f>F297</f>
        <v>2.0000000000000001E-4</v>
      </c>
      <c r="G298" s="118">
        <v>0</v>
      </c>
      <c r="H298" s="118">
        <f t="shared" si="156"/>
        <v>1.9423736609366152E-3</v>
      </c>
      <c r="I298" s="267">
        <f>I297+F298</f>
        <v>0.30362580645161291</v>
      </c>
      <c r="J298" s="235">
        <f t="shared" si="157"/>
        <v>2.3740961610754088</v>
      </c>
      <c r="K298" s="243">
        <f t="shared" si="158"/>
        <v>0.31510666730748865</v>
      </c>
      <c r="L298" s="243">
        <f t="shared" si="159"/>
        <v>19.627287011160377</v>
      </c>
      <c r="M298" s="244">
        <f t="shared" si="160"/>
        <v>1.5935358277227184E-5</v>
      </c>
      <c r="N298" s="244">
        <f t="shared" si="161"/>
        <v>13220.578697055073</v>
      </c>
      <c r="O298" s="245">
        <f t="shared" si="162"/>
        <v>4.3909298979133114E-2</v>
      </c>
      <c r="P298" s="244">
        <f t="shared" si="163"/>
        <v>0.88822222709791765</v>
      </c>
      <c r="Q298" s="246">
        <f t="shared" si="164"/>
        <v>1.0138260185777446</v>
      </c>
      <c r="R298" s="235">
        <f t="shared" si="165"/>
        <v>3.4782533040004074E-2</v>
      </c>
      <c r="S298" s="235">
        <f>IF(N298&lt;2500,($B$253/1000/$I298)^0.333333,1+($B$253/1000/I298)^0.7)</f>
        <v>1.0526066354137844</v>
      </c>
      <c r="T298" s="235">
        <f>(S298*I298-S297*I297)/(I298-I297)</f>
        <v>1.0157856304724997</v>
      </c>
      <c r="U298" s="235">
        <f t="shared" si="166"/>
        <v>45.826172086630862</v>
      </c>
      <c r="V298" s="235">
        <f t="shared" si="167"/>
        <v>352.5502841502589</v>
      </c>
      <c r="W298" s="271">
        <f t="shared" si="168"/>
        <v>5.0075426930969105</v>
      </c>
      <c r="X298" s="247">
        <f t="shared" ref="X298:X307" si="181">AW297</f>
        <v>258.01524496958211</v>
      </c>
      <c r="Y298" s="136">
        <f>0.000000056703*$B$244*$H$250*$H$249*(($B$240)^4-(X298+273)^4)*(($B$237/1000*PI()/2)*($I298-$I297))*($B$243/1000)^2*PI()/4</f>
        <v>2.802400508750812E-2</v>
      </c>
      <c r="Z298" s="136">
        <f>0.000000056703*$H$248*(($B$241)^4-(X298+273)^4)*($B$237/1000*PI())*($I298-$I297)</f>
        <v>3.4509036150081142E-2</v>
      </c>
      <c r="AA298" s="136">
        <f t="shared" si="169"/>
        <v>6.2533041237589265E-2</v>
      </c>
      <c r="AB298" s="250">
        <f t="shared" si="170"/>
        <v>6.2535482342696805E-2</v>
      </c>
      <c r="AC298" s="247">
        <f t="shared" si="171"/>
        <v>259.01524496958211</v>
      </c>
      <c r="AD298" s="136">
        <f>0.000000056703*$B$244*$H$250*$H$249*(($B$240)^4-(AC298+273)^4)*(($B$237/1000*PI()/2)*($I298-$I297))*($B$243/1000)^2*PI()/4</f>
        <v>2.802009442457859E-2</v>
      </c>
      <c r="AE298" s="136">
        <f>0.000000056703*$H$248*(($B$241)^4-(AC298+273)^4)*($B$237/1000*PI())*($I298-$I297)</f>
        <v>3.4502214135034556E-2</v>
      </c>
      <c r="AF298" s="136">
        <f t="shared" si="172"/>
        <v>6.2522308559613146E-2</v>
      </c>
      <c r="AG298" s="250">
        <f t="shared" si="173"/>
        <v>6.3536990881316063E-2</v>
      </c>
      <c r="AH298" s="247">
        <f>X298+(AA298-AB298)/(AA298-AB298-(AF298-AG298))</f>
        <v>258.0128333852013</v>
      </c>
      <c r="AI298" s="250">
        <f>$W298*($I298-$I297)*(AH298-$B298)</f>
        <v>6.2533067120347813E-2</v>
      </c>
      <c r="AJ298" s="238">
        <f>D298+AI298/1000/B$251</f>
        <v>2847.6165907301151</v>
      </c>
      <c r="AK298" s="250">
        <f>IF(AJ298&lt;(2677.2*C298^0.0161),100.55*C298^0.2536,(AJ298+9.0877*C298-2486.6)/(0.0199*C298+1.9776))</f>
        <v>195.65311484868789</v>
      </c>
      <c r="AL298" s="235">
        <f>(AL297+AK298)/2</f>
        <v>195.62462593817753</v>
      </c>
      <c r="AM298" s="247">
        <f>AH298</f>
        <v>258.0128333852013</v>
      </c>
      <c r="AN298" s="136">
        <f>0.000000056703*$B$244*$H$250*$H$249*(($B$240)^4-(AM298+273)^4)*(($B$237/1000*PI()/2)*($I298-$I297))*($B$243/1000)^2*PI()/4</f>
        <v>2.8024014491739285E-2</v>
      </c>
      <c r="AO298" s="136">
        <f>0.000000056703*$H$248*(($B$241)^4-(AM298+273)^4)*($B$237/1000*PI())*($I298-$I297)</f>
        <v>3.4509052555434322E-2</v>
      </c>
      <c r="AP298" s="136">
        <f t="shared" si="174"/>
        <v>6.253306704717361E-2</v>
      </c>
      <c r="AQ298" s="250">
        <f>$W298*($I298-$I297)*(AM298-$B298)</f>
        <v>6.2533067120347813E-2</v>
      </c>
      <c r="AR298" s="247">
        <f>AM298+1</f>
        <v>259.0128333852013</v>
      </c>
      <c r="AS298" s="136">
        <f>0.000000056703*$B$244*$H$250*$H$249*(($B$240)^4-(AR298+273)^4)*(($B$237/1000*PI()/2)*($I298-$I297))*($B$243/1000)^2*PI()/4</f>
        <v>2.8020103882039713E-2</v>
      </c>
      <c r="AT298" s="136">
        <f>0.000000056703*$H$248*(($B$241)^4-(AR298+273)^4)*($B$237/1000*PI())*($I298-$I297)</f>
        <v>3.4502230633245534E-2</v>
      </c>
      <c r="AU298" s="136">
        <f t="shared" si="175"/>
        <v>6.2522334515285244E-2</v>
      </c>
      <c r="AV298" s="250">
        <f>$W298*($I298-$I297)*(AR298-$B298)</f>
        <v>6.3534575658967085E-2</v>
      </c>
      <c r="AW298" s="247">
        <f>AM298+(AP298-AQ298)/(AP298-AQ298-(AU298-AV298))</f>
        <v>258.01283331291199</v>
      </c>
      <c r="AX298" s="136">
        <f>0.000000056703*$B$244*$H$250*$H$249*(($B$240)^4-(AW298+273)^4)*(($B$237/1000*PI()/2)*($I298-$I297))*($B$243/1000)^2*PI()/4</f>
        <v>2.8024014492021191E-2</v>
      </c>
      <c r="AY298" s="136">
        <f>0.000000056703*$H$248*(($B$241)^4-(AW298+273)^4)*($B$237/1000*PI())*($I298-$I297)</f>
        <v>3.4509052555926088E-2</v>
      </c>
      <c r="AZ298" s="136">
        <f t="shared" si="176"/>
        <v>6.2533067047947283E-2</v>
      </c>
      <c r="BA298" s="250">
        <f t="shared" si="177"/>
        <v>6.2533067047949462E-2</v>
      </c>
      <c r="BB298" s="236">
        <f>D298+(BA298+AZ298)/2/1000/$B$251</f>
        <v>2847.6165907300187</v>
      </c>
      <c r="BC298" s="251">
        <f>IF(BB298&lt;(2677.2*C298^0.0161),100.55*C298^0.2536,(BB298+9.0877*C298-2486.6)/(0.0199*C298+1.9776))</f>
        <v>195.65311484864148</v>
      </c>
      <c r="BF298" s="102"/>
      <c r="BG298" s="120"/>
      <c r="BH298" s="102"/>
      <c r="BI298" s="261"/>
      <c r="BJ298" s="119"/>
      <c r="BK298" s="261"/>
      <c r="BL298" s="102"/>
      <c r="BM298" s="119"/>
      <c r="BN298" s="123"/>
      <c r="BO298" s="123"/>
      <c r="BP298" s="123"/>
      <c r="BQ298" s="108"/>
      <c r="BR298" s="108"/>
      <c r="BS298" s="124"/>
      <c r="BT298" s="108"/>
      <c r="BU298" s="260"/>
      <c r="BV298" s="102"/>
      <c r="BW298" s="120"/>
      <c r="BX298" s="120"/>
      <c r="BY298" s="254"/>
      <c r="BZ298" s="254"/>
      <c r="CA298" s="253"/>
      <c r="CB298" s="256"/>
      <c r="CC298" s="256"/>
      <c r="CD298" s="257"/>
      <c r="CE298" s="255"/>
      <c r="CF298" s="255"/>
      <c r="CG298" s="126"/>
      <c r="CH298" s="209"/>
      <c r="CI298" s="256"/>
      <c r="CJ298" s="208"/>
      <c r="CK298" s="208"/>
      <c r="CL298" s="254"/>
      <c r="CM298" s="209"/>
      <c r="CN298" s="254"/>
      <c r="CO298" s="28"/>
      <c r="CP298" s="28"/>
      <c r="CQ298" s="28"/>
      <c r="CR298" s="28"/>
      <c r="CS298" s="28"/>
      <c r="CT298" s="28"/>
      <c r="CU298" s="28"/>
      <c r="CV298" s="28"/>
    </row>
    <row r="299" spans="1:100" ht="12" customHeight="1" x14ac:dyDescent="0.2">
      <c r="A299" s="200" t="s">
        <v>453</v>
      </c>
      <c r="B299" s="268">
        <f t="shared" ref="B299:B308" si="182">BC298</f>
        <v>195.65311484864148</v>
      </c>
      <c r="C299" s="269">
        <f t="shared" si="178"/>
        <v>4.9876685578533921</v>
      </c>
      <c r="D299" s="270">
        <f t="shared" si="179"/>
        <v>2847.6165907300187</v>
      </c>
      <c r="E299" s="262">
        <f t="shared" si="180"/>
        <v>258.01283331291199</v>
      </c>
      <c r="F299" s="161">
        <f>F298</f>
        <v>2.0000000000000001E-4</v>
      </c>
      <c r="G299" s="118">
        <v>0</v>
      </c>
      <c r="H299" s="118">
        <f t="shared" si="156"/>
        <v>1.9424094453204424E-3</v>
      </c>
      <c r="I299" s="267">
        <f>I298+F299</f>
        <v>0.30382580645161289</v>
      </c>
      <c r="J299" s="235">
        <f t="shared" si="157"/>
        <v>2.3736401039372148</v>
      </c>
      <c r="K299" s="243">
        <f t="shared" si="158"/>
        <v>0.31516721003453468</v>
      </c>
      <c r="L299" s="243">
        <f t="shared" si="159"/>
        <v>19.631058081732522</v>
      </c>
      <c r="M299" s="244">
        <f t="shared" si="160"/>
        <v>1.5938642733056406E-5</v>
      </c>
      <c r="N299" s="244">
        <f t="shared" si="161"/>
        <v>13217.854349223548</v>
      </c>
      <c r="O299" s="245">
        <f t="shared" si="162"/>
        <v>4.3910107920913918E-2</v>
      </c>
      <c r="P299" s="244">
        <f t="shared" si="163"/>
        <v>0.88840925172869689</v>
      </c>
      <c r="Q299" s="246">
        <f t="shared" si="164"/>
        <v>1.0137494021433824</v>
      </c>
      <c r="R299" s="235">
        <f t="shared" si="165"/>
        <v>3.4788869262613958E-2</v>
      </c>
      <c r="S299" s="235">
        <f>IF(N299&lt;2500,($B$253/1000/$I299)^0.333333,1+($B$253/1000/I299)^0.7)</f>
        <v>1.0525823923895647</v>
      </c>
      <c r="T299" s="235">
        <f>(S299*I299-S298*I298)/(I299-I298)</f>
        <v>1.015778353491815</v>
      </c>
      <c r="U299" s="235">
        <f t="shared" si="166"/>
        <v>45.817232192630954</v>
      </c>
      <c r="V299" s="235">
        <f t="shared" si="167"/>
        <v>352.54571811117972</v>
      </c>
      <c r="W299" s="271">
        <f t="shared" si="168"/>
        <v>5.00747783813393</v>
      </c>
      <c r="X299" s="247">
        <f t="shared" si="181"/>
        <v>258.01283331291199</v>
      </c>
      <c r="Y299" s="136">
        <f>0.000000056703*$B$244*$H$250*$H$249*(($B$240)^4-(X299+273)^4)*(($B$237/1000*PI()/2)*($I299-$I298))*($B$243/1000)^2*PI()/4</f>
        <v>2.8024014492021191E-2</v>
      </c>
      <c r="Z299" s="136">
        <f>0.000000056703*$H$248*(($B$241)^4-(X299+273)^4)*($B$237/1000*PI())*($I299-$I298)</f>
        <v>3.4509052555926088E-2</v>
      </c>
      <c r="AA299" s="136">
        <f t="shared" si="169"/>
        <v>6.2533067047947283E-2</v>
      </c>
      <c r="AB299" s="250">
        <f t="shared" si="170"/>
        <v>6.2452981640414289E-2</v>
      </c>
      <c r="AC299" s="247">
        <f t="shared" si="171"/>
        <v>259.01283331291199</v>
      </c>
      <c r="AD299" s="136">
        <f>0.000000056703*$B$244*$H$250*$H$249*(($B$240)^4-(AC299+273)^4)*(($B$237/1000*PI()/2)*($I299-$I298))*($B$243/1000)^2*PI()/4</f>
        <v>2.8020103882323209E-2</v>
      </c>
      <c r="AE299" s="136">
        <f>0.000000056703*$H$248*(($B$241)^4-(AC299+273)^4)*($B$237/1000*PI())*($I299-$I298)</f>
        <v>3.4502230633740083E-2</v>
      </c>
      <c r="AF299" s="136">
        <f t="shared" si="172"/>
        <v>6.2522334516063288E-2</v>
      </c>
      <c r="AG299" s="250">
        <f t="shared" si="173"/>
        <v>6.3454477208040969E-2</v>
      </c>
      <c r="AH299" s="247">
        <f>X299+(AA299-AB299)/(AA299-AB299-(AF299-AG299))</f>
        <v>258.09195125833526</v>
      </c>
      <c r="AI299" s="250">
        <f>$W299*($I299-$I298)*(AH299-$B299)</f>
        <v>6.2532217912075416E-2</v>
      </c>
      <c r="AJ299" s="238">
        <f>D299+AI299/1000/B$251</f>
        <v>2847.7001794999687</v>
      </c>
      <c r="AK299" s="250">
        <f>IF(AJ299&lt;(2677.2*C299^0.0161),100.55*C299^0.2536,(AJ299+9.0877*C299-2486.6)/(0.0199*C299+1.9776))</f>
        <v>195.69334040593921</v>
      </c>
      <c r="AL299" s="235">
        <f>(AL298+AK299)/2</f>
        <v>195.65898317205836</v>
      </c>
      <c r="AM299" s="247">
        <f>AH299</f>
        <v>258.09195125833526</v>
      </c>
      <c r="AN299" s="136">
        <f>0.000000056703*$B$244*$H$250*$H$249*(($B$240)^4-(AM299+273)^4)*(($B$237/1000*PI()/2)*($I299-$I298))*($B$243/1000)^2*PI()/4</f>
        <v>2.8023705896274738E-2</v>
      </c>
      <c r="AO299" s="136">
        <f>0.000000056703*$H$248*(($B$241)^4-(AM299+273)^4)*($B$237/1000*PI())*($I299-$I298)</f>
        <v>3.4508514221412601E-2</v>
      </c>
      <c r="AP299" s="136">
        <f t="shared" si="174"/>
        <v>6.2532220117687332E-2</v>
      </c>
      <c r="AQ299" s="250">
        <f>$W299*($I299-$I298)*(AM299-$B299)</f>
        <v>6.2532217912075416E-2</v>
      </c>
      <c r="AR299" s="247">
        <f>AM299+1</f>
        <v>259.09195125833526</v>
      </c>
      <c r="AS299" s="136">
        <f>0.000000056703*$B$244*$H$250*$H$249*(($B$240)^4-(AR299+273)^4)*(($B$237/1000*PI()/2)*($I299-$I298))*($B$243/1000)^2*PI()/4</f>
        <v>2.8019793539985186E-2</v>
      </c>
      <c r="AT299" s="136">
        <f>0.000000056703*$H$248*(($B$241)^4-(AR299+273)^4)*($B$237/1000*PI())*($I299-$I298)</f>
        <v>3.4501689252358518E-2</v>
      </c>
      <c r="AU299" s="136">
        <f t="shared" si="175"/>
        <v>6.2521482792343708E-2</v>
      </c>
      <c r="AV299" s="250">
        <f>$W299*($I299-$I298)*(AR299-$B299)</f>
        <v>6.3533713479702089E-2</v>
      </c>
      <c r="AW299" s="247">
        <f>AM299+(AP299-AQ299)/(AP299-AQ299-(AU299-AV299))</f>
        <v>258.0919534372922</v>
      </c>
      <c r="AX299" s="136">
        <f>0.000000056703*$B$244*$H$250*$H$249*(($B$240)^4-(AW299+273)^4)*(($B$237/1000*PI()/2)*($I299-$I298))*($B$243/1000)^2*PI()/4</f>
        <v>2.802370588777392E-2</v>
      </c>
      <c r="AY299" s="136">
        <f>0.000000056703*$H$248*(($B$241)^4-(AW299+273)^4)*($B$237/1000*PI())*($I299-$I298)</f>
        <v>3.450851420658322E-2</v>
      </c>
      <c r="AZ299" s="136">
        <f t="shared" si="176"/>
        <v>6.2532220094357133E-2</v>
      </c>
      <c r="BA299" s="250">
        <f t="shared" si="177"/>
        <v>6.2532220094291144E-2</v>
      </c>
      <c r="BB299" s="236">
        <f>D299+(BA299+AZ299)/2/1000/$B$251</f>
        <v>2847.7001795028859</v>
      </c>
      <c r="BC299" s="251">
        <f>IF(BB299&lt;(2677.2*C299^0.0161),100.55*C299^0.2536,(BB299+9.0877*C299-2486.6)/(0.0199*C299+1.9776))</f>
        <v>195.69334040734384</v>
      </c>
      <c r="BF299" s="102"/>
      <c r="BG299" s="120"/>
      <c r="BH299" s="102"/>
      <c r="BI299" s="261"/>
      <c r="BJ299" s="119"/>
      <c r="BK299" s="261"/>
      <c r="BL299" s="102"/>
      <c r="BM299" s="119"/>
      <c r="BN299" s="123"/>
      <c r="BO299" s="123"/>
      <c r="BP299" s="123"/>
      <c r="BQ299" s="108"/>
      <c r="BR299" s="108"/>
      <c r="BS299" s="124"/>
      <c r="BT299" s="108"/>
      <c r="BU299" s="260"/>
      <c r="BV299" s="102"/>
      <c r="BW299" s="120"/>
      <c r="BX299" s="120"/>
      <c r="BY299" s="254"/>
      <c r="BZ299" s="254"/>
      <c r="CA299" s="253"/>
      <c r="CB299" s="256"/>
      <c r="CC299" s="256"/>
      <c r="CD299" s="257"/>
      <c r="CE299" s="255"/>
      <c r="CF299" s="255"/>
      <c r="CG299" s="126"/>
      <c r="CH299" s="209"/>
      <c r="CI299" s="256"/>
      <c r="CJ299" s="208"/>
      <c r="CK299" s="208"/>
      <c r="CL299" s="254"/>
      <c r="CM299" s="209"/>
      <c r="CN299" s="254"/>
      <c r="CO299" s="28"/>
      <c r="CP299" s="28"/>
      <c r="CQ299" s="28"/>
      <c r="CR299" s="28"/>
      <c r="CS299" s="28"/>
      <c r="CT299" s="28"/>
      <c r="CU299" s="28"/>
      <c r="CV299" s="28"/>
    </row>
    <row r="300" spans="1:100" ht="12" customHeight="1" x14ac:dyDescent="0.2">
      <c r="A300" s="200" t="s">
        <v>453</v>
      </c>
      <c r="B300" s="268">
        <f t="shared" si="182"/>
        <v>195.69334040734384</v>
      </c>
      <c r="C300" s="269">
        <f t="shared" si="178"/>
        <v>4.9876596737608745</v>
      </c>
      <c r="D300" s="270">
        <f t="shared" si="179"/>
        <v>2847.7001795028859</v>
      </c>
      <c r="E300" s="262">
        <f t="shared" si="180"/>
        <v>258.0919534372922</v>
      </c>
      <c r="F300" s="161">
        <f>F299</f>
        <v>2.0000000000000001E-4</v>
      </c>
      <c r="G300" s="118">
        <v>0</v>
      </c>
      <c r="H300" s="118">
        <f t="shared" si="156"/>
        <v>1.942427629413535E-3</v>
      </c>
      <c r="I300" s="267">
        <f>I299+F300</f>
        <v>0.30402580645161287</v>
      </c>
      <c r="J300" s="235">
        <f t="shared" si="157"/>
        <v>2.3734062789895018</v>
      </c>
      <c r="K300" s="243">
        <f t="shared" si="158"/>
        <v>0.31519825990452938</v>
      </c>
      <c r="L300" s="243">
        <f t="shared" si="159"/>
        <v>19.632992108439264</v>
      </c>
      <c r="M300" s="244">
        <f t="shared" si="160"/>
        <v>1.59403118078607E-5</v>
      </c>
      <c r="N300" s="244">
        <f t="shared" si="161"/>
        <v>13216.470336920211</v>
      </c>
      <c r="O300" s="245">
        <f t="shared" si="162"/>
        <v>4.3910518990522368E-2</v>
      </c>
      <c r="P300" s="244">
        <f t="shared" si="163"/>
        <v>0.88850509443710546</v>
      </c>
      <c r="Q300" s="246">
        <f t="shared" si="164"/>
        <v>1.0137104204083025</v>
      </c>
      <c r="R300" s="235">
        <f t="shared" si="165"/>
        <v>3.4792087643680317E-2</v>
      </c>
      <c r="S300" s="235">
        <f>IF(N300&lt;2500,($B$253/1000/$I300)^0.333333,1+($B$253/1000/I300)^0.7)</f>
        <v>1.0525581764796286</v>
      </c>
      <c r="T300" s="235">
        <f>(S300*I300-S299*I299)/(I300-I299)</f>
        <v>1.0157710846532284</v>
      </c>
      <c r="U300" s="235">
        <f t="shared" si="166"/>
        <v>45.812689541942511</v>
      </c>
      <c r="V300" s="235">
        <f t="shared" si="167"/>
        <v>352.54337559408583</v>
      </c>
      <c r="W300" s="271">
        <f t="shared" si="168"/>
        <v>5.00744456556294</v>
      </c>
      <c r="X300" s="247">
        <f t="shared" si="181"/>
        <v>258.0919534372922</v>
      </c>
      <c r="Y300" s="136">
        <f>0.000000056703*$B$244*$H$250*$H$249*(($B$240)^4-(X300+273)^4)*(($B$237/1000*PI()/2)*($I300-$I299))*($B$243/1000)^2*PI()/4</f>
        <v>2.802370588777392E-2</v>
      </c>
      <c r="Z300" s="136">
        <f>0.000000056703*$H$248*(($B$241)^4-(X300+273)^4)*($B$237/1000*PI())*($I300-$I299)</f>
        <v>3.450851420658322E-2</v>
      </c>
      <c r="AA300" s="136">
        <f t="shared" si="169"/>
        <v>6.2532220094357133E-2</v>
      </c>
      <c r="AB300" s="250">
        <f t="shared" si="170"/>
        <v>6.2491519143089085E-2</v>
      </c>
      <c r="AC300" s="247">
        <f t="shared" si="171"/>
        <v>259.0919534372922</v>
      </c>
      <c r="AD300" s="136">
        <f>0.000000056703*$B$244*$H$250*$H$249*(($B$240)^4-(AC300+273)^4)*(($B$237/1000*PI()/2)*($I300-$I299))*($B$243/1000)^2*PI()/4</f>
        <v>2.8019793531436257E-2</v>
      </c>
      <c r="AE300" s="136">
        <f>0.000000056703*$H$248*(($B$241)^4-(AC300+273)^4)*($B$237/1000*PI())*($I300-$I299)</f>
        <v>3.4501689237445218E-2</v>
      </c>
      <c r="AF300" s="136">
        <f t="shared" si="172"/>
        <v>6.2521482768881476E-2</v>
      </c>
      <c r="AG300" s="250">
        <f t="shared" si="173"/>
        <v>6.3493008056201561E-2</v>
      </c>
      <c r="AH300" s="247">
        <f>X300+(AA300-AB300)/(AA300-AB300-(AF300-AG300))</f>
        <v>258.13216277954837</v>
      </c>
      <c r="AI300" s="250">
        <f>$W300*($I300-$I299)*(AH300-$B300)</f>
        <v>6.253178835356217E-2</v>
      </c>
      <c r="AJ300" s="238">
        <f>D300+AI300/1000/B$251</f>
        <v>2847.7837676986319</v>
      </c>
      <c r="AK300" s="250">
        <f>IF(AJ300&lt;(2677.2*C300^0.0161),100.55*C300^0.2536,(AJ300+9.0877*C300-2486.6)/(0.0199*C300+1.9776))</f>
        <v>195.73356569033476</v>
      </c>
      <c r="AL300" s="235">
        <f>(AL299+AK300)/2</f>
        <v>195.69627443119657</v>
      </c>
      <c r="AM300" s="247">
        <f>AH300</f>
        <v>258.13216277954837</v>
      </c>
      <c r="AN300" s="136">
        <f>0.000000056703*$B$244*$H$250*$H$249*(($B$240)^4-(AM300+273)^4)*(($B$237/1000*PI()/2)*($I300-$I299))*($B$243/1000)^2*PI()/4</f>
        <v>2.8023549000297281E-2</v>
      </c>
      <c r="AO300" s="136">
        <f>0.000000056703*$H$248*(($B$241)^4-(AM300+273)^4)*($B$237/1000*PI())*($I300-$I299)</f>
        <v>3.450824052185366E-2</v>
      </c>
      <c r="AP300" s="136">
        <f t="shared" si="174"/>
        <v>6.2531789522150938E-2</v>
      </c>
      <c r="AQ300" s="250">
        <f>$W300*($I300-$I299)*(AM300-$B300)</f>
        <v>6.253178835356217E-2</v>
      </c>
      <c r="AR300" s="247">
        <f>AM300+1</f>
        <v>259.13216277954837</v>
      </c>
      <c r="AS300" s="136">
        <f>0.000000056703*$B$244*$H$250*$H$249*(($B$240)^4-(AR300+273)^4)*(($B$237/1000*PI()/2)*($I300-$I299))*($B$243/1000)^2*PI()/4</f>
        <v>2.8019635756107109E-2</v>
      </c>
      <c r="AT300" s="136">
        <f>0.000000056703*$H$248*(($B$241)^4-(AR300+273)^4)*($B$237/1000*PI())*($I300-$I299)</f>
        <v>3.450141400388794E-2</v>
      </c>
      <c r="AU300" s="136">
        <f t="shared" si="175"/>
        <v>6.2521049759995048E-2</v>
      </c>
      <c r="AV300" s="250">
        <f>$W300*($I300-$I299)*(AR300-$B300)</f>
        <v>6.3533277266674654E-2</v>
      </c>
      <c r="AW300" s="247">
        <f>AM300+(AP300-AQ300)/(AP300-AQ300-(AU300-AV300))</f>
        <v>258.1321639340195</v>
      </c>
      <c r="AX300" s="136">
        <f>0.000000056703*$B$244*$H$250*$H$249*(($B$240)^4-(AW300+273)^4)*(($B$237/1000*PI()/2)*($I300-$I299))*($B$243/1000)^2*PI()/4</f>
        <v>2.8023548995792295E-2</v>
      </c>
      <c r="AY300" s="136">
        <f>0.000000056703*$H$248*(($B$241)^4-(AW300+273)^4)*($B$237/1000*PI())*($I300-$I299)</f>
        <v>3.4508240513994863E-2</v>
      </c>
      <c r="AZ300" s="136">
        <f t="shared" si="176"/>
        <v>6.2531789509787161E-2</v>
      </c>
      <c r="BA300" s="250">
        <f t="shared" si="177"/>
        <v>6.2531789509752217E-2</v>
      </c>
      <c r="BB300" s="236">
        <f>D300+(BA300+AZ300)/2/1000/$B$251</f>
        <v>2847.7837677001771</v>
      </c>
      <c r="BC300" s="251">
        <f>IF(BB300&lt;(2677.2*C300^0.0161),100.55*C300^0.2536,(BB300+9.0877*C300-2486.6)/(0.0199*C300+1.9776))</f>
        <v>195.73356569107881</v>
      </c>
      <c r="BF300" s="102"/>
      <c r="BG300" s="120"/>
      <c r="BH300" s="102"/>
      <c r="BI300" s="261"/>
      <c r="BJ300" s="119"/>
      <c r="BK300" s="261"/>
      <c r="BL300" s="102"/>
      <c r="BM300" s="119"/>
      <c r="BN300" s="123"/>
      <c r="BO300" s="123"/>
      <c r="BP300" s="123"/>
      <c r="BQ300" s="108"/>
      <c r="BR300" s="108"/>
      <c r="BS300" s="124"/>
      <c r="BT300" s="108"/>
      <c r="BU300" s="260"/>
      <c r="BV300" s="102"/>
      <c r="BW300" s="120"/>
      <c r="BX300" s="120"/>
      <c r="BY300" s="254"/>
      <c r="BZ300" s="254"/>
      <c r="CA300" s="253"/>
      <c r="CB300" s="256"/>
      <c r="CC300" s="256"/>
      <c r="CD300" s="257"/>
      <c r="CE300" s="255"/>
      <c r="CF300" s="255"/>
      <c r="CG300" s="126"/>
      <c r="CH300" s="209"/>
      <c r="CI300" s="256"/>
      <c r="CJ300" s="208"/>
      <c r="CK300" s="208"/>
      <c r="CL300" s="254"/>
      <c r="CM300" s="209"/>
      <c r="CN300" s="254"/>
      <c r="CO300" s="28"/>
      <c r="CP300" s="28"/>
      <c r="CQ300" s="28"/>
      <c r="CR300" s="28"/>
      <c r="CS300" s="28"/>
      <c r="CT300" s="28"/>
      <c r="CU300" s="28"/>
      <c r="CV300" s="28"/>
    </row>
    <row r="301" spans="1:100" ht="12" customHeight="1" x14ac:dyDescent="0.2">
      <c r="A301" s="200" t="s">
        <v>453</v>
      </c>
      <c r="B301" s="268">
        <f t="shared" si="182"/>
        <v>195.73356569107881</v>
      </c>
      <c r="C301" s="269">
        <f t="shared" si="178"/>
        <v>4.9876507887099297</v>
      </c>
      <c r="D301" s="270">
        <f t="shared" si="179"/>
        <v>2847.7837677001771</v>
      </c>
      <c r="E301" s="262">
        <f t="shared" si="180"/>
        <v>258.1321639340195</v>
      </c>
      <c r="F301" s="161">
        <f>F300</f>
        <v>2.0000000000000001E-4</v>
      </c>
      <c r="G301" s="118">
        <v>0</v>
      </c>
      <c r="H301" s="118">
        <f t="shared" si="156"/>
        <v>1.9424458129887348E-3</v>
      </c>
      <c r="I301" s="267">
        <f>I300+F301</f>
        <v>0.30422580645161285</v>
      </c>
      <c r="J301" s="235">
        <f t="shared" si="157"/>
        <v>2.3731725070864127</v>
      </c>
      <c r="K301" s="243">
        <f t="shared" si="158"/>
        <v>0.3152293088471782</v>
      </c>
      <c r="L301" s="243">
        <f t="shared" si="159"/>
        <v>19.634926077383714</v>
      </c>
      <c r="M301" s="244">
        <f t="shared" si="160"/>
        <v>1.5941980872090116E-5</v>
      </c>
      <c r="N301" s="244">
        <f t="shared" si="161"/>
        <v>13215.086623186298</v>
      </c>
      <c r="O301" s="245">
        <f t="shared" si="162"/>
        <v>4.3910930048423336E-2</v>
      </c>
      <c r="P301" s="244">
        <f t="shared" si="163"/>
        <v>0.88860093593324796</v>
      </c>
      <c r="Q301" s="246">
        <f t="shared" si="164"/>
        <v>1.0136714479358733</v>
      </c>
      <c r="R301" s="235">
        <f t="shared" si="165"/>
        <v>3.4795306291726967E-2</v>
      </c>
      <c r="S301" s="235">
        <f>IF(N301&lt;2500,($B$253/1000/$I301)^0.333333,1+($B$253/1000/I301)^0.7)</f>
        <v>1.0525339876358435</v>
      </c>
      <c r="T301" s="235">
        <f>(S301*I301-S300*I300)/(I301-I300)</f>
        <v>1.0157638239411968</v>
      </c>
      <c r="U301" s="235">
        <f t="shared" si="166"/>
        <v>45.808147908073771</v>
      </c>
      <c r="V301" s="235">
        <f t="shared" si="167"/>
        <v>352.54103714017492</v>
      </c>
      <c r="W301" s="271">
        <f t="shared" si="168"/>
        <v>5.0074113507044613</v>
      </c>
      <c r="X301" s="247">
        <f t="shared" si="181"/>
        <v>258.1321639340195</v>
      </c>
      <c r="Y301" s="136">
        <f>0.000000056703*$B$244*$H$250*$H$249*(($B$240)^4-(X301+273)^4)*(($B$237/1000*PI()/2)*($I301-$I300))*($B$243/1000)^2*PI()/4</f>
        <v>2.8023548995792295E-2</v>
      </c>
      <c r="Z301" s="136">
        <f>0.000000056703*$H$248*(($B$241)^4-(X301+273)^4)*($B$237/1000*PI())*($I301-$I300)</f>
        <v>3.4508240513994863E-2</v>
      </c>
      <c r="AA301" s="136">
        <f t="shared" si="169"/>
        <v>6.2531789509787161E-2</v>
      </c>
      <c r="AB301" s="250">
        <f t="shared" si="170"/>
        <v>6.2491089821942847E-2</v>
      </c>
      <c r="AC301" s="247">
        <f t="shared" si="171"/>
        <v>259.1321639340195</v>
      </c>
      <c r="AD301" s="136">
        <f>0.000000056703*$B$244*$H$250*$H$249*(($B$240)^4-(AC301+273)^4)*(($B$237/1000*PI()/2)*($I301-$I300))*($B$243/1000)^2*PI()/4</f>
        <v>2.8019635751576632E-2</v>
      </c>
      <c r="AE301" s="136">
        <f>0.000000056703*$H$248*(($B$241)^4-(AC301+273)^4)*($B$237/1000*PI())*($I301-$I300)</f>
        <v>3.4501413995984678E-2</v>
      </c>
      <c r="AF301" s="136">
        <f t="shared" si="172"/>
        <v>6.2521049747561314E-2</v>
      </c>
      <c r="AG301" s="250">
        <f t="shared" si="173"/>
        <v>6.349257209208363E-2</v>
      </c>
      <c r="AH301" s="247">
        <f>X301+(AA301-AB301)/(AA301-AB301-(AF301-AG301))</f>
        <v>258.17237219519433</v>
      </c>
      <c r="AI301" s="250">
        <f>$W301*($I301-$I300)*(AH301-$B301)</f>
        <v>6.2531357682622621E-2</v>
      </c>
      <c r="AJ301" s="238">
        <f>D301+AI301/1000/B$251</f>
        <v>2847.8673553202316</v>
      </c>
      <c r="AK301" s="250">
        <f>IF(AJ301&lt;(2677.2*C301^0.0161),100.55*C301^0.2536,(AJ301+9.0877*C301-2486.6)/(0.0199*C301+1.9776))</f>
        <v>195.77379070132812</v>
      </c>
      <c r="AL301" s="235">
        <f>(AL300+AK301)/2</f>
        <v>195.73503256626236</v>
      </c>
      <c r="AM301" s="247">
        <f>AH301</f>
        <v>258.17237219519433</v>
      </c>
      <c r="AN301" s="136">
        <f>0.000000056703*$B$244*$H$250*$H$249*(($B$240)^4-(AM301+273)^4)*(($B$237/1000*PI()/2)*($I301-$I300))*($B$243/1000)^2*PI()/4</f>
        <v>2.8023392076898659E-2</v>
      </c>
      <c r="AO301" s="136">
        <f>0.000000056703*$H$248*(($B$241)^4-(AM301+273)^4)*($B$237/1000*PI())*($I301-$I300)</f>
        <v>3.4507966774459456E-2</v>
      </c>
      <c r="AP301" s="136">
        <f t="shared" si="174"/>
        <v>6.2531358851358118E-2</v>
      </c>
      <c r="AQ301" s="250">
        <f>$W301*($I301-$I300)*(AM301-$B301)</f>
        <v>6.2531357682622621E-2</v>
      </c>
      <c r="AR301" s="247">
        <f>AM301+1</f>
        <v>259.17237219519433</v>
      </c>
      <c r="AS301" s="136">
        <f>0.000000056703*$B$244*$H$250*$H$249*(($B$240)^4-(AR301+273)^4)*(($B$237/1000*PI()/2)*($I301-$I300))*($B$243/1000)^2*PI()/4</f>
        <v>2.8019477944720057E-2</v>
      </c>
      <c r="AT301" s="136">
        <f>0.000000056703*$H$248*(($B$241)^4-(AR301+273)^4)*($B$237/1000*PI())*($I301-$I300)</f>
        <v>3.4501138707428894E-2</v>
      </c>
      <c r="AU301" s="136">
        <f t="shared" si="175"/>
        <v>6.2520616652148947E-2</v>
      </c>
      <c r="AV301" s="250">
        <f>$W301*($I301-$I300)*(AR301-$B301)</f>
        <v>6.3532839952763404E-2</v>
      </c>
      <c r="AW301" s="247">
        <f>AM301+(AP301-AQ301)/(AP301-AQ301-(AU301-AV301))</f>
        <v>258.17237334981519</v>
      </c>
      <c r="AX301" s="136">
        <f>0.000000056703*$B$244*$H$250*$H$249*(($B$240)^4-(AW301+273)^4)*(($B$237/1000*PI()/2)*($I301-$I300))*($B$243/1000)^2*PI()/4</f>
        <v>2.8023392072392066E-2</v>
      </c>
      <c r="AY301" s="136">
        <f>0.000000056703*$H$248*(($B$241)^4-(AW301+273)^4)*($B$237/1000*PI())*($I301-$I300)</f>
        <v>3.4507966766597856E-2</v>
      </c>
      <c r="AZ301" s="136">
        <f t="shared" si="176"/>
        <v>6.2531358838989914E-2</v>
      </c>
      <c r="BA301" s="250">
        <f t="shared" si="177"/>
        <v>6.2531358838954942E-2</v>
      </c>
      <c r="BB301" s="236">
        <f>D301+(BA301+AZ301)/2/1000/$B$251</f>
        <v>2847.8673553217773</v>
      </c>
      <c r="BC301" s="251">
        <f>IF(BB301&lt;(2677.2*C301^0.0161),100.55*C301^0.2536,(BB301+9.0877*C301-2486.6)/(0.0199*C301+1.9776))</f>
        <v>195.77379070207238</v>
      </c>
      <c r="BF301" s="102"/>
      <c r="BG301" s="120"/>
      <c r="BH301" s="102"/>
      <c r="BI301" s="261"/>
      <c r="BJ301" s="119"/>
      <c r="BK301" s="261"/>
      <c r="BL301" s="102"/>
      <c r="BM301" s="119"/>
      <c r="BN301" s="123"/>
      <c r="BO301" s="123"/>
      <c r="BP301" s="123"/>
      <c r="BQ301" s="108"/>
      <c r="BR301" s="108"/>
      <c r="BS301" s="124"/>
      <c r="BT301" s="108"/>
      <c r="BU301" s="260"/>
      <c r="BV301" s="102"/>
      <c r="BW301" s="120"/>
      <c r="BX301" s="120"/>
      <c r="BY301" s="254"/>
      <c r="BZ301" s="254"/>
      <c r="CA301" s="253"/>
      <c r="CB301" s="256"/>
      <c r="CC301" s="256"/>
      <c r="CD301" s="257"/>
      <c r="CE301" s="255"/>
      <c r="CF301" s="255"/>
      <c r="CG301" s="126"/>
      <c r="CH301" s="209"/>
      <c r="CI301" s="256"/>
      <c r="CJ301" s="208"/>
      <c r="CK301" s="208"/>
      <c r="CL301" s="254"/>
      <c r="CM301" s="209"/>
      <c r="CN301" s="254"/>
      <c r="CO301" s="28"/>
      <c r="CP301" s="28"/>
      <c r="CQ301" s="28"/>
      <c r="CR301" s="28"/>
      <c r="CS301" s="28"/>
      <c r="CT301" s="28"/>
      <c r="CU301" s="28"/>
      <c r="CV301" s="28"/>
    </row>
    <row r="302" spans="1:100" ht="12" customHeight="1" x14ac:dyDescent="0.2">
      <c r="A302" s="200" t="s">
        <v>454</v>
      </c>
      <c r="B302" s="268">
        <f t="shared" si="182"/>
        <v>195.77379070207238</v>
      </c>
      <c r="C302" s="269">
        <f t="shared" si="178"/>
        <v>4.9876419027005703</v>
      </c>
      <c r="D302" s="270">
        <f t="shared" si="179"/>
        <v>2847.8673553217773</v>
      </c>
      <c r="E302" s="262">
        <f t="shared" si="180"/>
        <v>258.17237334981519</v>
      </c>
      <c r="F302" s="161">
        <v>0</v>
      </c>
      <c r="G302" s="118">
        <v>1.8</v>
      </c>
      <c r="H302" s="118">
        <f t="shared" si="156"/>
        <v>1.8</v>
      </c>
      <c r="I302" s="267">
        <v>0</v>
      </c>
      <c r="J302" s="235">
        <f t="shared" si="157"/>
        <v>2.372938788194412</v>
      </c>
      <c r="K302" s="243">
        <f t="shared" si="158"/>
        <v>0.31526035686458026</v>
      </c>
      <c r="L302" s="243">
        <f t="shared" si="159"/>
        <v>19.636859988696617</v>
      </c>
      <c r="M302" s="244">
        <f t="shared" si="160"/>
        <v>1.5943649925836998E-5</v>
      </c>
      <c r="N302" s="244">
        <f t="shared" si="161"/>
        <v>13213.703207848755</v>
      </c>
      <c r="O302" s="245">
        <f t="shared" si="162"/>
        <v>4.3911341094640573E-2</v>
      </c>
      <c r="P302" s="244">
        <f t="shared" si="163"/>
        <v>823.51806800917393</v>
      </c>
      <c r="Q302" s="246">
        <f t="shared" si="164"/>
        <v>1.0136324847237346</v>
      </c>
      <c r="R302" s="235">
        <f t="shared" si="165"/>
        <v>3.4798525206926188E-2</v>
      </c>
      <c r="S302" s="235">
        <v>0</v>
      </c>
      <c r="T302" s="235">
        <v>1</v>
      </c>
      <c r="U302" s="235">
        <f t="shared" si="166"/>
        <v>0</v>
      </c>
      <c r="V302" s="235">
        <f t="shared" si="167"/>
        <v>0</v>
      </c>
      <c r="W302" s="271">
        <f t="shared" si="168"/>
        <v>0</v>
      </c>
      <c r="X302" s="247">
        <f t="shared" si="181"/>
        <v>258.17237334981519</v>
      </c>
      <c r="Y302" s="136">
        <v>0</v>
      </c>
      <c r="Z302" s="136">
        <v>0</v>
      </c>
      <c r="AA302" s="136">
        <f t="shared" si="169"/>
        <v>0</v>
      </c>
      <c r="AB302" s="250">
        <f t="shared" si="170"/>
        <v>0</v>
      </c>
      <c r="AC302" s="247">
        <f t="shared" si="171"/>
        <v>259.17237334981519</v>
      </c>
      <c r="AD302" s="136">
        <v>0</v>
      </c>
      <c r="AE302" s="136">
        <v>0</v>
      </c>
      <c r="AF302" s="136">
        <f t="shared" si="172"/>
        <v>0</v>
      </c>
      <c r="AG302" s="250">
        <f t="shared" si="173"/>
        <v>0</v>
      </c>
      <c r="AH302" s="247">
        <f>AH301</f>
        <v>258.17237219519433</v>
      </c>
      <c r="AI302" s="250">
        <v>0</v>
      </c>
      <c r="AJ302" s="238">
        <f>AJ301</f>
        <v>2847.8673553202316</v>
      </c>
      <c r="AK302" s="250">
        <f>AK301</f>
        <v>195.77379070132812</v>
      </c>
      <c r="AL302" s="235">
        <f>AL301</f>
        <v>195.73503256626236</v>
      </c>
      <c r="AM302" s="247">
        <f>AM301</f>
        <v>258.17237219519433</v>
      </c>
      <c r="AN302" s="136">
        <v>0</v>
      </c>
      <c r="AO302" s="136">
        <v>0</v>
      </c>
      <c r="AP302" s="136">
        <f t="shared" si="174"/>
        <v>0</v>
      </c>
      <c r="AQ302" s="250">
        <v>0</v>
      </c>
      <c r="AR302" s="247">
        <f>AR301</f>
        <v>259.17237219519433</v>
      </c>
      <c r="AS302" s="136">
        <v>0</v>
      </c>
      <c r="AT302" s="136">
        <v>0</v>
      </c>
      <c r="AU302" s="136">
        <f t="shared" si="175"/>
        <v>0</v>
      </c>
      <c r="AV302" s="250">
        <v>0</v>
      </c>
      <c r="AW302" s="247">
        <f>AW301</f>
        <v>258.17237334981519</v>
      </c>
      <c r="AX302" s="136">
        <v>0</v>
      </c>
      <c r="AY302" s="136">
        <v>0</v>
      </c>
      <c r="AZ302" s="136">
        <f t="shared" si="176"/>
        <v>0</v>
      </c>
      <c r="BA302" s="250">
        <f t="shared" si="177"/>
        <v>0</v>
      </c>
      <c r="BB302" s="236">
        <f>BB301</f>
        <v>2847.8673553217773</v>
      </c>
      <c r="BC302" s="251">
        <f>BC301</f>
        <v>195.77379070207238</v>
      </c>
      <c r="BF302" s="102"/>
      <c r="BG302" s="120"/>
      <c r="BH302" s="102"/>
      <c r="BI302" s="261"/>
      <c r="BJ302" s="119"/>
      <c r="BK302" s="261"/>
      <c r="BL302" s="102"/>
      <c r="BM302" s="119"/>
      <c r="BN302" s="123"/>
      <c r="BO302" s="123"/>
      <c r="BP302" s="123"/>
      <c r="BQ302" s="108"/>
      <c r="BR302" s="108"/>
      <c r="BS302" s="124"/>
      <c r="BT302" s="108"/>
      <c r="BU302" s="260"/>
      <c r="BV302" s="102"/>
      <c r="BW302" s="120"/>
      <c r="BX302" s="120"/>
      <c r="BY302" s="254"/>
      <c r="BZ302" s="254"/>
      <c r="CA302" s="253"/>
      <c r="CB302" s="256"/>
      <c r="CC302" s="256"/>
      <c r="CD302" s="257"/>
      <c r="CE302" s="255"/>
      <c r="CF302" s="255"/>
      <c r="CG302" s="126"/>
      <c r="CH302" s="209"/>
      <c r="CI302" s="256"/>
      <c r="CJ302" s="208"/>
      <c r="CK302" s="208"/>
      <c r="CL302" s="254"/>
      <c r="CM302" s="209"/>
      <c r="CN302" s="254"/>
      <c r="CO302" s="28"/>
      <c r="CP302" s="28"/>
      <c r="CQ302" s="28"/>
      <c r="CR302" s="28"/>
      <c r="CS302" s="28"/>
      <c r="CT302" s="28"/>
      <c r="CU302" s="28"/>
      <c r="CV302" s="28"/>
    </row>
    <row r="303" spans="1:100" ht="12" customHeight="1" x14ac:dyDescent="0.2">
      <c r="A303" s="200" t="s">
        <v>455</v>
      </c>
      <c r="B303" s="268">
        <f t="shared" si="182"/>
        <v>195.77379070207238</v>
      </c>
      <c r="C303" s="269">
        <f t="shared" si="178"/>
        <v>4.979406722020479</v>
      </c>
      <c r="D303" s="270">
        <f t="shared" si="179"/>
        <v>2847.8673553217773</v>
      </c>
      <c r="E303" s="262">
        <f t="shared" si="180"/>
        <v>258.17237334981519</v>
      </c>
      <c r="F303" s="161">
        <f>F301</f>
        <v>2.0000000000000001E-4</v>
      </c>
      <c r="G303" s="118">
        <v>0</v>
      </c>
      <c r="H303" s="118">
        <f t="shared" si="156"/>
        <v>1.9424639960470929E-3</v>
      </c>
      <c r="I303" s="267">
        <f>I302+F303</f>
        <v>2.0000000000000001E-4</v>
      </c>
      <c r="J303" s="235">
        <f t="shared" si="157"/>
        <v>2.3688976086129157</v>
      </c>
      <c r="K303" s="243">
        <f t="shared" si="158"/>
        <v>0.31579816977484881</v>
      </c>
      <c r="L303" s="243">
        <f t="shared" si="159"/>
        <v>19.670359147690444</v>
      </c>
      <c r="M303" s="244">
        <f t="shared" si="160"/>
        <v>1.5943649925836998E-5</v>
      </c>
      <c r="N303" s="244">
        <f t="shared" si="161"/>
        <v>13213.703207848755</v>
      </c>
      <c r="O303" s="245">
        <f t="shared" si="162"/>
        <v>4.3911341094640573E-2</v>
      </c>
      <c r="P303" s="244">
        <f t="shared" si="163"/>
        <v>0.89021283299727949</v>
      </c>
      <c r="Q303" s="246">
        <f t="shared" si="164"/>
        <v>1.0135184664645824</v>
      </c>
      <c r="R303" s="235">
        <f t="shared" si="165"/>
        <v>3.4794857431747747E-2</v>
      </c>
      <c r="S303" s="235">
        <f>IF(N303&lt;2500,($B$253/1000/I303)^0.333333,1+($B$253/1000/I303)^0.7)</f>
        <v>9.8706737385995478</v>
      </c>
      <c r="T303" s="235">
        <f>(S303*I303-S302*I302)/(I303-I302)</f>
        <v>9.8706737385995478</v>
      </c>
      <c r="U303" s="235">
        <f t="shared" si="166"/>
        <v>45.801546336876513</v>
      </c>
      <c r="V303" s="235">
        <f t="shared" si="167"/>
        <v>352.48568409829403</v>
      </c>
      <c r="W303" s="271">
        <f t="shared" si="168"/>
        <v>5.0066251289004438</v>
      </c>
      <c r="X303" s="247">
        <f t="shared" si="181"/>
        <v>258.17237334981519</v>
      </c>
      <c r="Y303" s="136">
        <f>0.000000056703*$B$244*$H$250*$H$249*(($B$240)^4-(X303+273)^4)*(($B$237/1000*PI()/2)*($I303-$I302))*($B$243/1000)^2*PI()/4</f>
        <v>2.802339207239515E-2</v>
      </c>
      <c r="Z303" s="136">
        <f>0.000000056703*$H$248*(($B$241)^4-(X303+273)^4)*($B$237/1000*PI())*($I303-$I302)</f>
        <v>3.4507966766601658E-2</v>
      </c>
      <c r="AA303" s="136">
        <f t="shared" si="169"/>
        <v>6.2531358838996812E-2</v>
      </c>
      <c r="AB303" s="250">
        <f t="shared" si="170"/>
        <v>6.248126237839207E-2</v>
      </c>
      <c r="AC303" s="247">
        <f t="shared" si="171"/>
        <v>259.17237334981519</v>
      </c>
      <c r="AD303" s="136">
        <f>0.000000056703*$B$244*$H$250*$H$249*(($B$240)^4-(AC303+273)^4)*(($B$237/1000*PI()/2)*($I303-$I302))*($B$243/1000)^2*PI()/4</f>
        <v>2.8019477940191048E-2</v>
      </c>
      <c r="AE303" s="136">
        <f>0.000000056703*$H$248*(($B$241)^4-(AC303+273)^4)*($B$237/1000*PI())*($I303-$I302)</f>
        <v>3.4501138699526611E-2</v>
      </c>
      <c r="AF303" s="136">
        <f t="shared" si="172"/>
        <v>6.2520616639717655E-2</v>
      </c>
      <c r="AG303" s="250">
        <f t="shared" si="173"/>
        <v>6.3482587404172161E-2</v>
      </c>
      <c r="AH303" s="247">
        <f>X303+(AA303-AB303)/(AA303-AB303-(AF303-AG303))</f>
        <v>258.22187249311747</v>
      </c>
      <c r="AI303" s="250">
        <f>$W303*($I303-$I302)*(AH303-$B303)</f>
        <v>6.253082710933533E-2</v>
      </c>
      <c r="AJ303" s="238">
        <f>D303+AI303/1000/B$251</f>
        <v>2847.9509422325978</v>
      </c>
      <c r="AK303" s="250">
        <f>IF(AJ303&lt;(2677.2*C303^0.0161),100.55*C303^0.2536,(AJ303+9.0877*C303-2486.6)/(0.0199*C303+1.9776))</f>
        <v>195.79343029617382</v>
      </c>
      <c r="AL303" s="235">
        <f>(AL302+AK303)/2</f>
        <v>195.76423143121809</v>
      </c>
      <c r="AM303" s="247">
        <f>AH303</f>
        <v>258.22187249311747</v>
      </c>
      <c r="AN303" s="136">
        <f>0.000000056703*$B$244*$H$250*$H$249*(($B$240)^4-(AM303+273)^4)*(($B$237/1000*PI()/2)*($I303-$I302))*($B$243/1000)^2*PI()/4</f>
        <v>2.8023198845467043E-2</v>
      </c>
      <c r="AO303" s="136">
        <f>0.000000056703*$H$248*(($B$241)^4-(AM303+273)^4)*($B$237/1000*PI())*($I303-$I302)</f>
        <v>3.4507629688966826E-2</v>
      </c>
      <c r="AP303" s="136">
        <f t="shared" si="174"/>
        <v>6.2530828534433869E-2</v>
      </c>
      <c r="AQ303" s="250">
        <f>$W303*($I303-$I302)*(AM303-$B303)</f>
        <v>6.253082710933533E-2</v>
      </c>
      <c r="AR303" s="247">
        <f>AM303+1</f>
        <v>259.22187249311747</v>
      </c>
      <c r="AS303" s="136">
        <f>0.000000056703*$B$244*$H$250*$H$249*(($B$240)^4-(AR303+273)^4)*(($B$237/1000*PI()/2)*($I303-$I302))*($B$243/1000)^2*PI()/4</f>
        <v>2.8019283619934846E-2</v>
      </c>
      <c r="AT303" s="136">
        <f>0.000000056703*$H$248*(($B$241)^4-(AR303+273)^4)*($B$237/1000*PI())*($I303-$I302)</f>
        <v>3.450079971461905E-2</v>
      </c>
      <c r="AU303" s="136">
        <f t="shared" si="175"/>
        <v>6.2520083334553889E-2</v>
      </c>
      <c r="AV303" s="250">
        <f>$W303*($I303-$I302)*(AR303-$B303)</f>
        <v>6.3532152135115413E-2</v>
      </c>
      <c r="AW303" s="247">
        <f>AM303+(AP303-AQ303)/(AP303-AQ303-(AU303-AV303))</f>
        <v>258.22187390121991</v>
      </c>
      <c r="AX303" s="136">
        <f>0.000000056703*$B$244*$H$250*$H$249*(($B$240)^4-(AW303+273)^4)*(($B$237/1000*PI()/2)*($I303-$I302))*($B$243/1000)^2*PI()/4</f>
        <v>2.8023198839969555E-2</v>
      </c>
      <c r="AY303" s="136">
        <f>0.000000056703*$H$248*(($B$241)^4-(AW303+273)^4)*($B$237/1000*PI())*($I303-$I302)</f>
        <v>3.4507629679376636E-2</v>
      </c>
      <c r="AZ303" s="136">
        <f t="shared" si="176"/>
        <v>6.2530828519346188E-2</v>
      </c>
      <c r="BA303" s="250">
        <f t="shared" si="177"/>
        <v>6.2530828519303527E-2</v>
      </c>
      <c r="BB303" s="236">
        <f>D303+(BA303+AZ303)/2/1000/$B$251</f>
        <v>2847.9509422344827</v>
      </c>
      <c r="BC303" s="251">
        <f>IF(BB303&lt;(2677.2*C303^0.0161),100.55*C303^0.2536,(BB303+9.0877*C303-2486.6)/(0.0199*C303+1.9776))</f>
        <v>195.79343029708147</v>
      </c>
      <c r="BF303" s="102"/>
      <c r="BG303" s="120"/>
      <c r="BH303" s="102"/>
      <c r="BI303" s="261"/>
      <c r="BJ303" s="119"/>
      <c r="BK303" s="261"/>
      <c r="BL303" s="102"/>
      <c r="BM303" s="119"/>
      <c r="BN303" s="123"/>
      <c r="BO303" s="123"/>
      <c r="BP303" s="123"/>
      <c r="BQ303" s="108"/>
      <c r="BR303" s="108"/>
      <c r="BS303" s="124"/>
      <c r="BT303" s="108"/>
      <c r="BU303" s="260"/>
      <c r="BV303" s="102"/>
      <c r="BW303" s="120"/>
      <c r="BX303" s="120"/>
      <c r="BY303" s="254"/>
      <c r="BZ303" s="254"/>
      <c r="CA303" s="253"/>
      <c r="CB303" s="256"/>
      <c r="CC303" s="256"/>
      <c r="CD303" s="257"/>
      <c r="CE303" s="255"/>
      <c r="CF303" s="255"/>
      <c r="CG303" s="126"/>
      <c r="CH303" s="209"/>
      <c r="CI303" s="256"/>
      <c r="CJ303" s="208"/>
      <c r="CK303" s="208"/>
      <c r="CL303" s="254"/>
      <c r="CM303" s="209"/>
      <c r="CN303" s="254"/>
      <c r="CO303" s="28"/>
      <c r="CP303" s="28"/>
      <c r="CQ303" s="28"/>
      <c r="CR303" s="28"/>
      <c r="CS303" s="28"/>
      <c r="CT303" s="28"/>
      <c r="CU303" s="28"/>
      <c r="CV303" s="28"/>
    </row>
    <row r="304" spans="1:100" ht="12" customHeight="1" x14ac:dyDescent="0.2">
      <c r="A304" s="200" t="s">
        <v>455</v>
      </c>
      <c r="B304" s="268">
        <f t="shared" si="182"/>
        <v>195.79343029708147</v>
      </c>
      <c r="C304" s="269">
        <f t="shared" si="178"/>
        <v>4.9793978198921494</v>
      </c>
      <c r="D304" s="270">
        <f t="shared" si="179"/>
        <v>2847.9509422344827</v>
      </c>
      <c r="E304" s="262">
        <f t="shared" si="180"/>
        <v>258.22187390121991</v>
      </c>
      <c r="F304" s="161">
        <f>F303</f>
        <v>2.0000000000000001E-4</v>
      </c>
      <c r="G304" s="118">
        <v>0</v>
      </c>
      <c r="H304" s="118">
        <f t="shared" si="156"/>
        <v>1.9424728736618497E-3</v>
      </c>
      <c r="I304" s="267">
        <f>I303+F304</f>
        <v>4.0000000000000002E-4</v>
      </c>
      <c r="J304" s="235">
        <f t="shared" si="157"/>
        <v>2.3687814887923451</v>
      </c>
      <c r="K304" s="243">
        <f t="shared" si="158"/>
        <v>0.3158136504880274</v>
      </c>
      <c r="L304" s="243">
        <f t="shared" si="159"/>
        <v>19.671323406565985</v>
      </c>
      <c r="M304" s="244">
        <f t="shared" si="160"/>
        <v>1.5944464830569653E-5</v>
      </c>
      <c r="N304" s="244">
        <f t="shared" si="161"/>
        <v>13213.027869454247</v>
      </c>
      <c r="O304" s="245">
        <f t="shared" si="162"/>
        <v>4.3911541781999769E-2</v>
      </c>
      <c r="P304" s="244">
        <f t="shared" si="163"/>
        <v>0.89026054076521088</v>
      </c>
      <c r="Q304" s="246">
        <f t="shared" si="164"/>
        <v>1.013499411093252</v>
      </c>
      <c r="R304" s="235">
        <f t="shared" si="165"/>
        <v>3.4796427613380407E-2</v>
      </c>
      <c r="S304" s="235">
        <f>IF(N304&lt;2500,($B$253/1000/I304)^0.333333,1+($B$253/1000/I304)^0.7)</f>
        <v>6.4605402079411469</v>
      </c>
      <c r="T304" s="235">
        <f>(S304*I304-S303*I303)/(I304-I303)</f>
        <v>3.0504066772827469</v>
      </c>
      <c r="U304" s="235">
        <f t="shared" si="166"/>
        <v>45.799329194818974</v>
      </c>
      <c r="V304" s="235">
        <f t="shared" si="167"/>
        <v>352.48452691075352</v>
      </c>
      <c r="W304" s="271">
        <f t="shared" si="168"/>
        <v>5.0066086924762701</v>
      </c>
      <c r="X304" s="247">
        <f t="shared" si="181"/>
        <v>258.22187390121991</v>
      </c>
      <c r="Y304" s="136">
        <f>0.000000056703*$B$244*$H$250*$H$249*(($B$240)^4-(X304+273)^4)*(($B$237/1000*PI()/2)*($I304-$I303))*($B$243/1000)^2*PI()/4</f>
        <v>2.8023198839969555E-2</v>
      </c>
      <c r="Z304" s="136">
        <f>0.000000056703*$H$248*(($B$241)^4-(X304+273)^4)*($B$237/1000*PI())*($I304-$I303)</f>
        <v>3.4507629679376636E-2</v>
      </c>
      <c r="AA304" s="136">
        <f t="shared" si="169"/>
        <v>6.2530828519346188E-2</v>
      </c>
      <c r="AB304" s="250">
        <f t="shared" si="170"/>
        <v>6.2510957681248813E-2</v>
      </c>
      <c r="AC304" s="247">
        <f t="shared" si="171"/>
        <v>259.22187390121991</v>
      </c>
      <c r="AD304" s="136">
        <f>0.000000056703*$B$244*$H$250*$H$249*(($B$240)^4-(AC304+273)^4)*(($B$237/1000*PI()/2)*($I304-$I303))*($B$243/1000)^2*PI()/4</f>
        <v>2.801928361440624E-2</v>
      </c>
      <c r="AE304" s="136">
        <f>0.000000056703*$H$248*(($B$241)^4-(AC304+273)^4)*($B$237/1000*PI())*($I304-$I303)</f>
        <v>3.4500799704974598E-2</v>
      </c>
      <c r="AF304" s="136">
        <f t="shared" si="172"/>
        <v>6.2520083319380831E-2</v>
      </c>
      <c r="AG304" s="250">
        <f t="shared" si="173"/>
        <v>6.3512279419744078E-2</v>
      </c>
      <c r="AH304" s="247">
        <f>X304+(AA304-AB304)/(AA304-AB304-(AF304-AG304))</f>
        <v>258.24150781805116</v>
      </c>
      <c r="AI304" s="250">
        <f>$W304*($I304-$I303)*(AH304-$B304)</f>
        <v>6.2530617548983758E-2</v>
      </c>
      <c r="AJ304" s="238">
        <f>D304+AI304/1000/B$251</f>
        <v>2848.0345288651774</v>
      </c>
      <c r="AK304" s="250">
        <f>IF(AJ304&lt;(2677.2*C304^0.0161),100.55*C304^0.2536,(AJ304+9.0877*C304-2486.6)/(0.0199*C304+1.9776))</f>
        <v>195.83365797450168</v>
      </c>
      <c r="AL304" s="235">
        <f>(AL303+AK304)/2</f>
        <v>195.7989447028599</v>
      </c>
      <c r="AM304" s="247">
        <f>AH304</f>
        <v>258.24150781805116</v>
      </c>
      <c r="AN304" s="136">
        <f>0.000000056703*$B$244*$H$250*$H$249*(($B$240)^4-(AM304+273)^4)*(($B$237/1000*PI()/2)*($I304-$I303))*($B$243/1000)^2*PI()/4</f>
        <v>2.8023122181226084E-2</v>
      </c>
      <c r="AO304" s="136">
        <f>0.000000056703*$H$248*(($B$241)^4-(AM304+273)^4)*($B$237/1000*PI())*($I304-$I303)</f>
        <v>3.4507495950873095E-2</v>
      </c>
      <c r="AP304" s="136">
        <f t="shared" si="174"/>
        <v>6.2530618132099175E-2</v>
      </c>
      <c r="AQ304" s="250">
        <f>$W304*($I304-$I303)*(AM304-$B304)</f>
        <v>6.2530617548983758E-2</v>
      </c>
      <c r="AR304" s="247">
        <f>AM304+1</f>
        <v>259.24150781805116</v>
      </c>
      <c r="AS304" s="136">
        <f>0.000000056703*$B$244*$H$250*$H$249*(($B$240)^4-(AR304+273)^4)*(($B$237/1000*PI()/2)*($I304-$I303))*($B$243/1000)^2*PI()/4</f>
        <v>2.8019206521935992E-2</v>
      </c>
      <c r="AT304" s="136">
        <f>0.000000056703*$H$248*(($B$241)^4-(AR304+273)^4)*($B$237/1000*PI())*($I304-$I303)</f>
        <v>3.4500665219849826E-2</v>
      </c>
      <c r="AU304" s="136">
        <f t="shared" si="175"/>
        <v>6.2519871741785818E-2</v>
      </c>
      <c r="AV304" s="250">
        <f>$W304*($I304-$I303)*(AR304-$B304)</f>
        <v>6.3531939287479008E-2</v>
      </c>
      <c r="AW304" s="247">
        <f>AM304+(AP304-AQ304)/(AP304-AQ304-(AU304-AV304))</f>
        <v>258.24150839421338</v>
      </c>
      <c r="AX304" s="136">
        <f>0.000000056703*$B$244*$H$250*$H$249*(($B$240)^4-(AW304+273)^4)*(($B$237/1000*PI()/2)*($I304-$I303))*($B$243/1000)^2*PI()/4</f>
        <v>2.8023122178976387E-2</v>
      </c>
      <c r="AY304" s="136">
        <f>0.000000056703*$H$248*(($B$241)^4-(AW304+273)^4)*($B$237/1000*PI())*($I304-$I303)</f>
        <v>3.4507495946948595E-2</v>
      </c>
      <c r="AZ304" s="136">
        <f t="shared" si="176"/>
        <v>6.2530618125924975E-2</v>
      </c>
      <c r="BA304" s="250">
        <f t="shared" si="177"/>
        <v>6.2530618125907517E-2</v>
      </c>
      <c r="BB304" s="236">
        <f>D304+(BA304+AZ304)/2/1000/$B$251</f>
        <v>2848.0345288659487</v>
      </c>
      <c r="BC304" s="251">
        <f>IF(BB304&lt;(2677.2*C304^0.0161),100.55*C304^0.2536,(BB304+9.0877*C304-2486.6)/(0.0199*C304+1.9776))</f>
        <v>195.83365797487306</v>
      </c>
      <c r="BF304" s="102"/>
      <c r="BG304" s="120"/>
      <c r="BH304" s="102"/>
      <c r="BI304" s="261"/>
      <c r="BJ304" s="119"/>
      <c r="BK304" s="261"/>
      <c r="BL304" s="102"/>
      <c r="BM304" s="119"/>
      <c r="BN304" s="123"/>
      <c r="BO304" s="123"/>
      <c r="BP304" s="123"/>
      <c r="BQ304" s="108"/>
      <c r="BR304" s="108"/>
      <c r="BS304" s="124"/>
      <c r="BT304" s="108"/>
      <c r="BU304" s="260"/>
      <c r="BV304" s="102"/>
      <c r="BW304" s="120"/>
      <c r="BX304" s="120"/>
      <c r="BY304" s="254"/>
      <c r="BZ304" s="254"/>
      <c r="CA304" s="253"/>
      <c r="CB304" s="256"/>
      <c r="CC304" s="256"/>
      <c r="CD304" s="257"/>
      <c r="CE304" s="255"/>
      <c r="CM304" s="209"/>
      <c r="CN304" s="254"/>
      <c r="CO304" s="28"/>
      <c r="CP304" s="28"/>
      <c r="CQ304" s="28"/>
      <c r="CR304" s="28"/>
      <c r="CS304" s="28"/>
      <c r="CT304" s="28"/>
      <c r="CU304" s="28"/>
      <c r="CV304" s="28"/>
    </row>
    <row r="305" spans="1:135" ht="12" customHeight="1" x14ac:dyDescent="0.2">
      <c r="A305" s="200" t="s">
        <v>455</v>
      </c>
      <c r="B305" s="268">
        <f t="shared" si="182"/>
        <v>195.83365797487306</v>
      </c>
      <c r="C305" s="269">
        <f t="shared" si="178"/>
        <v>4.9793889172867418</v>
      </c>
      <c r="D305" s="270">
        <f t="shared" si="179"/>
        <v>2848.0345288659487</v>
      </c>
      <c r="E305" s="262">
        <f t="shared" si="180"/>
        <v>258.24150839421338</v>
      </c>
      <c r="F305" s="161">
        <f>F304</f>
        <v>2.0000000000000001E-4</v>
      </c>
      <c r="G305" s="118">
        <v>0</v>
      </c>
      <c r="H305" s="118">
        <f t="shared" si="156"/>
        <v>1.9424910573400101E-3</v>
      </c>
      <c r="I305" s="267">
        <f>I304+F305</f>
        <v>6.0000000000000006E-4</v>
      </c>
      <c r="J305" s="235">
        <f t="shared" si="157"/>
        <v>2.3685482586832181</v>
      </c>
      <c r="K305" s="243">
        <f t="shared" si="158"/>
        <v>0.31584474854646766</v>
      </c>
      <c r="L305" s="243">
        <f t="shared" si="159"/>
        <v>19.67326043482284</v>
      </c>
      <c r="M305" s="244">
        <f t="shared" si="160"/>
        <v>1.5946133996211563E-5</v>
      </c>
      <c r="N305" s="244">
        <f t="shared" si="161"/>
        <v>13211.644792393028</v>
      </c>
      <c r="O305" s="245">
        <f t="shared" si="162"/>
        <v>4.3911952842228257E-2</v>
      </c>
      <c r="P305" s="244">
        <f t="shared" si="163"/>
        <v>0.8903565390421605</v>
      </c>
      <c r="Q305" s="246">
        <f t="shared" si="164"/>
        <v>1.0134605159704129</v>
      </c>
      <c r="R305" s="235">
        <f t="shared" si="165"/>
        <v>3.4799648179412897E-2</v>
      </c>
      <c r="S305" s="235">
        <f>IF(N305&lt;2500,($B$253/1000/I305)^0.333333,1+($B$253/1000/I305)^0.7)</f>
        <v>5.1112295665181824</v>
      </c>
      <c r="T305" s="235">
        <f>(S305*I305-S304*I304)/(I305-I304)</f>
        <v>2.4126082836722533</v>
      </c>
      <c r="U305" s="235">
        <f t="shared" si="166"/>
        <v>45.794790902930075</v>
      </c>
      <c r="V305" s="235">
        <f t="shared" si="167"/>
        <v>352.48221973629677</v>
      </c>
      <c r="W305" s="271">
        <f t="shared" si="168"/>
        <v>5.0065759219039236</v>
      </c>
      <c r="X305" s="247">
        <f t="shared" si="181"/>
        <v>258.24150839421338</v>
      </c>
      <c r="Y305" s="136">
        <f>0.000000056703*$B$244*$H$250*$H$249*(($B$240)^4-(X305+273)^4)*(($B$237/1000*PI()/2)*($I305-$I304))*($B$243/1000)^2*PI()/4</f>
        <v>2.8023122178976394E-2</v>
      </c>
      <c r="Z305" s="136">
        <f>0.000000056703*$H$248*(($B$241)^4-(X305+273)^4)*($B$237/1000*PI())*($I305-$I304)</f>
        <v>3.4507495946948595E-2</v>
      </c>
      <c r="AA305" s="136">
        <f t="shared" si="169"/>
        <v>6.2530618125924989E-2</v>
      </c>
      <c r="AB305" s="250">
        <f t="shared" si="170"/>
        <v>6.2489928249450204E-2</v>
      </c>
      <c r="AC305" s="247">
        <f t="shared" si="171"/>
        <v>259.24150839421338</v>
      </c>
      <c r="AD305" s="136">
        <f>0.000000056703*$B$244*$H$250*$H$249*(($B$240)^4-(AC305+273)^4)*(($B$237/1000*PI()/2)*($I305-$I304))*($B$243/1000)^2*PI()/4</f>
        <v>2.8019206519673573E-2</v>
      </c>
      <c r="AE305" s="136">
        <f>0.000000056703*$H$248*(($B$241)^4-(AC305+273)^4)*($B$237/1000*PI())*($I305-$I304)</f>
        <v>3.4500665215903108E-2</v>
      </c>
      <c r="AF305" s="136">
        <f t="shared" si="172"/>
        <v>6.2519871735576688E-2</v>
      </c>
      <c r="AG305" s="250">
        <f t="shared" si="173"/>
        <v>6.3491243433830988E-2</v>
      </c>
      <c r="AH305" s="247">
        <f>X305+(AA305-AB305)/(AA305-AB305-(AF305-AG305))</f>
        <v>258.28171333578098</v>
      </c>
      <c r="AI305" s="250">
        <f>$W305*($I305-$I304)*(AH305-$B305)</f>
        <v>6.2530186067928969E-2</v>
      </c>
      <c r="AJ305" s="238">
        <f>D305+AI305/1000/B$251</f>
        <v>2848.1181149198692</v>
      </c>
      <c r="AK305" s="250">
        <f>IF(AJ305&lt;(2677.2*C305^0.0161),100.55*C305^0.2536,(AJ305+9.0877*C305-2486.6)/(0.0199*C305+1.9776))</f>
        <v>195.87388538022694</v>
      </c>
      <c r="AL305" s="235">
        <f>(AL304+AK305)/2</f>
        <v>195.83641504154343</v>
      </c>
      <c r="AM305" s="247">
        <f>AH305</f>
        <v>258.28171333578098</v>
      </c>
      <c r="AN305" s="136">
        <f>0.000000056703*$B$244*$H$250*$H$249*(($B$240)^4-(AM305+273)^4)*(($B$237/1000*PI()/2)*($I305-$I304))*($B$243/1000)^2*PI()/4</f>
        <v>2.8022965176116306E-2</v>
      </c>
      <c r="AO305" s="136">
        <f>0.000000056703*$H$248*(($B$241)^4-(AM305+273)^4)*($B$237/1000*PI())*($I305-$I304)</f>
        <v>3.4507222060936628E-2</v>
      </c>
      <c r="AP305" s="136">
        <f t="shared" si="174"/>
        <v>6.2530187237052934E-2</v>
      </c>
      <c r="AQ305" s="250">
        <f>$W305*($I305-$I304)*(AM305-$B305)</f>
        <v>6.2530186067928969E-2</v>
      </c>
      <c r="AR305" s="247">
        <f>AM305+1</f>
        <v>259.28171333578098</v>
      </c>
      <c r="AS305" s="136">
        <f>0.000000056703*$B$244*$H$250*$H$249*(($B$240)^4-(AR305+273)^4)*(($B$237/1000*PI()/2)*($I305-$I304))*($B$243/1000)^2*PI()/4</f>
        <v>2.8019048628558595E-2</v>
      </c>
      <c r="AT305" s="136">
        <f>0.000000056703*$H$248*(($B$241)^4-(AR305+273)^4)*($B$237/1000*PI())*($I305-$I304)</f>
        <v>3.4500389780361483E-2</v>
      </c>
      <c r="AU305" s="136">
        <f t="shared" si="175"/>
        <v>6.2519438408920075E-2</v>
      </c>
      <c r="AV305" s="250">
        <f>$W305*($I305-$I304)*(AR305-$B305)</f>
        <v>6.3531501252309761E-2</v>
      </c>
      <c r="AW305" s="247">
        <f>AM305+(AP305-AQ305)/(AP305-AQ305-(AU305-AV305))</f>
        <v>258.28171449096874</v>
      </c>
      <c r="AX305" s="136">
        <f>0.000000056703*$B$244*$H$250*$H$249*(($B$240)^4-(AW305+273)^4)*(($B$237/1000*PI()/2)*($I305-$I304))*($B$243/1000)^2*PI()/4</f>
        <v>2.802296517160471E-2</v>
      </c>
      <c r="AY305" s="136">
        <f>0.000000056703*$H$248*(($B$241)^4-(AW305+273)^4)*($B$237/1000*PI())*($I305-$I304)</f>
        <v>3.4507222053066305E-2</v>
      </c>
      <c r="AZ305" s="136">
        <f t="shared" si="176"/>
        <v>6.2530187224671019E-2</v>
      </c>
      <c r="BA305" s="250">
        <f t="shared" si="177"/>
        <v>6.2530187224636019E-2</v>
      </c>
      <c r="BB305" s="236">
        <f>D305+(BA305+AZ305)/2/1000/$B$251</f>
        <v>2848.1181149214153</v>
      </c>
      <c r="BC305" s="251">
        <f>IF(BB305&lt;(2677.2*C305^0.0161),100.55*C305^0.2536,(BB305+9.0877*C305-2486.6)/(0.0199*C305+1.9776))</f>
        <v>195.87388538097144</v>
      </c>
      <c r="BF305" s="102"/>
      <c r="BG305" s="120"/>
      <c r="BH305" s="102"/>
      <c r="BI305" s="261"/>
      <c r="BJ305" s="119"/>
      <c r="BK305" s="261"/>
      <c r="BL305" s="102"/>
      <c r="BM305" s="119"/>
      <c r="BN305" s="123"/>
      <c r="BO305" s="123"/>
      <c r="BP305" s="123"/>
      <c r="BQ305" s="108"/>
      <c r="BR305" s="108"/>
      <c r="BS305" s="124"/>
      <c r="BT305" s="108"/>
      <c r="BU305" s="260"/>
      <c r="BV305" s="102"/>
      <c r="BW305" s="120"/>
      <c r="BX305" s="120"/>
      <c r="BY305" s="254"/>
      <c r="BZ305" s="254"/>
      <c r="CA305" s="253"/>
      <c r="CB305" s="256"/>
      <c r="CC305" s="256"/>
      <c r="CD305" s="257"/>
      <c r="CE305" s="255"/>
      <c r="CM305" s="209"/>
      <c r="CN305" s="254"/>
      <c r="CO305" s="28"/>
      <c r="CP305" s="28"/>
      <c r="CQ305" s="28"/>
      <c r="CR305" s="28"/>
      <c r="CS305" s="28"/>
      <c r="CT305" s="28"/>
      <c r="CU305" s="28"/>
      <c r="CV305" s="28"/>
    </row>
    <row r="306" spans="1:135" ht="12" customHeight="1" x14ac:dyDescent="0.2">
      <c r="A306" s="200" t="s">
        <v>455</v>
      </c>
      <c r="B306" s="268">
        <f t="shared" si="182"/>
        <v>195.87388538097144</v>
      </c>
      <c r="C306" s="269">
        <f t="shared" si="178"/>
        <v>4.9793800137213511</v>
      </c>
      <c r="D306" s="270">
        <f t="shared" si="179"/>
        <v>2848.1181149214153</v>
      </c>
      <c r="E306" s="262">
        <f t="shared" si="180"/>
        <v>258.28171449096874</v>
      </c>
      <c r="F306" s="161">
        <f>F305</f>
        <v>2.0000000000000001E-4</v>
      </c>
      <c r="G306" s="118">
        <v>0</v>
      </c>
      <c r="H306" s="118">
        <f t="shared" si="156"/>
        <v>1.9425092405018548E-3</v>
      </c>
      <c r="I306" s="267">
        <f>I305+F306</f>
        <v>8.0000000000000004E-4</v>
      </c>
      <c r="J306" s="235">
        <f t="shared" si="157"/>
        <v>2.3683150814177907</v>
      </c>
      <c r="K306" s="243">
        <f t="shared" si="158"/>
        <v>0.31587584568187144</v>
      </c>
      <c r="L306" s="243">
        <f t="shared" si="159"/>
        <v>19.67519740558582</v>
      </c>
      <c r="M306" s="244">
        <f t="shared" si="160"/>
        <v>1.5947803151414517E-5</v>
      </c>
      <c r="N306" s="244">
        <f t="shared" si="161"/>
        <v>13210.262013496435</v>
      </c>
      <c r="O306" s="245">
        <f t="shared" si="162"/>
        <v>4.3912363890784921E-2</v>
      </c>
      <c r="P306" s="244">
        <f t="shared" si="163"/>
        <v>0.8904525361216491</v>
      </c>
      <c r="Q306" s="246">
        <f t="shared" si="164"/>
        <v>1.0134216300928109</v>
      </c>
      <c r="R306" s="235">
        <f t="shared" si="165"/>
        <v>3.4802869012544521E-2</v>
      </c>
      <c r="S306" s="235">
        <f>IF(N306&lt;2500,($B$253/1000/I306)^0.333333,1+($B$253/1000/I306)^0.7)</f>
        <v>4.3613567854260147</v>
      </c>
      <c r="T306" s="235">
        <f>(S306*I306-S305*I305)/(I306-I305)</f>
        <v>2.1117384421495107</v>
      </c>
      <c r="U306" s="235">
        <f t="shared" si="166"/>
        <v>45.790253626214174</v>
      </c>
      <c r="V306" s="235">
        <f t="shared" si="167"/>
        <v>352.47991661601429</v>
      </c>
      <c r="W306" s="271">
        <f t="shared" si="168"/>
        <v>5.0065432089161304</v>
      </c>
      <c r="X306" s="247">
        <f t="shared" si="181"/>
        <v>258.28171449096874</v>
      </c>
      <c r="Y306" s="136">
        <f>0.000000056703*$B$244*$H$250*$H$249*(($B$240)^4-(X306+273)^4)*(($B$237/1000*PI()/2)*($I306-$I305))*($B$243/1000)^2*PI()/4</f>
        <v>2.8022965171604703E-2</v>
      </c>
      <c r="Z306" s="136">
        <f>0.000000056703*$H$248*(($B$241)^4-(X306+273)^4)*($B$237/1000*PI())*($I306-$I305)</f>
        <v>3.4507222053066298E-2</v>
      </c>
      <c r="AA306" s="136">
        <f t="shared" si="169"/>
        <v>6.2530187224671005E-2</v>
      </c>
      <c r="AB306" s="250">
        <f t="shared" si="170"/>
        <v>6.248949860277106E-2</v>
      </c>
      <c r="AC306" s="247">
        <f t="shared" si="171"/>
        <v>259.28171449096874</v>
      </c>
      <c r="AD306" s="136">
        <f>0.000000056703*$B$244*$H$250*$H$249*(($B$240)^4-(AC306+273)^4)*(($B$237/1000*PI()/2)*($I306-$I305))*($B$243/1000)^2*PI()/4</f>
        <v>2.8019048624021478E-2</v>
      </c>
      <c r="AE306" s="136">
        <f>0.000000056703*$H$248*(($B$241)^4-(AC306+273)^4)*($B$237/1000*PI())*($I306-$I305)</f>
        <v>3.4500389772446634E-2</v>
      </c>
      <c r="AF306" s="136">
        <f t="shared" si="172"/>
        <v>6.2519438396468119E-2</v>
      </c>
      <c r="AG306" s="250">
        <f t="shared" si="173"/>
        <v>6.349080724455429E-2</v>
      </c>
      <c r="AH306" s="247">
        <f>X306+(AA306-AB306)/(AA306-AB306-(AF306-AG306))</f>
        <v>258.32191835597308</v>
      </c>
      <c r="AI306" s="250">
        <f>$W306*($I306-$I305)*(AH306-$B306)</f>
        <v>6.2529755080232993E-2</v>
      </c>
      <c r="AJ306" s="238">
        <f>D306+AI306/1000/B$251</f>
        <v>2848.201700399221</v>
      </c>
      <c r="AK306" s="250">
        <f>IF(AJ306&lt;(2677.2*C306^0.0161),100.55*C306^0.2536,(AJ306+9.0877*C306-2486.6)/(0.0199*C306+1.9776))</f>
        <v>195.91411251337047</v>
      </c>
      <c r="AL306" s="235">
        <f>(AL305+AK306)/2</f>
        <v>195.87526377745695</v>
      </c>
      <c r="AM306" s="247">
        <f>AH306</f>
        <v>258.32191835597308</v>
      </c>
      <c r="AN306" s="136">
        <f>0.000000056703*$B$244*$H$250*$H$249*(($B$240)^4-(AM306+273)^4)*(($B$237/1000*PI()/2)*($I306-$I305))*($B$243/1000)^2*PI()/4</f>
        <v>2.8022808137301264E-2</v>
      </c>
      <c r="AO306" s="136">
        <f>0.000000056703*$H$248*(($B$241)^4-(AM306+273)^4)*($B$237/1000*PI())*($I306-$I305)</f>
        <v>3.4506948112202521E-2</v>
      </c>
      <c r="AP306" s="136">
        <f t="shared" si="174"/>
        <v>6.2529756249503785E-2</v>
      </c>
      <c r="AQ306" s="250">
        <f>$W306*($I306-$I305)*(AM306-$B306)</f>
        <v>6.2529755080232993E-2</v>
      </c>
      <c r="AR306" s="247">
        <f>AM306+1</f>
        <v>259.32191835597308</v>
      </c>
      <c r="AS306" s="136">
        <f>0.000000056703*$B$244*$H$250*$H$249*(($B$240)^4-(AR306+273)^4)*(($B$237/1000*PI()/2)*($I306-$I305))*($B$243/1000)^2*PI()/4</f>
        <v>2.8018890701352616E-2</v>
      </c>
      <c r="AT306" s="136">
        <f>0.000000056703*$H$248*(($B$241)^4-(AR306+273)^4)*($B$237/1000*PI())*($I306-$I305)</f>
        <v>3.4500114281860374E-2</v>
      </c>
      <c r="AU306" s="136">
        <f t="shared" si="175"/>
        <v>6.2519004983212986E-2</v>
      </c>
      <c r="AV306" s="250">
        <f>$W306*($I306-$I305)*(AR306-$B306)</f>
        <v>6.3531063722016223E-2</v>
      </c>
      <c r="AW306" s="247">
        <f>AM306+(AP306-AQ306)/(AP306-AQ306-(AU306-AV306))</f>
        <v>258.32191951131063</v>
      </c>
      <c r="AX306" s="136">
        <f>0.000000056703*$B$244*$H$250*$H$249*(($B$240)^4-(AW306+273)^4)*(($B$237/1000*PI()/2)*($I306-$I305))*($B$243/1000)^2*PI()/4</f>
        <v>2.8022808132788065E-2</v>
      </c>
      <c r="AY306" s="136">
        <f>0.000000056703*$H$248*(($B$241)^4-(AW306+273)^4)*($B$237/1000*PI())*($I306-$I305)</f>
        <v>3.4506948104329395E-2</v>
      </c>
      <c r="AZ306" s="136">
        <f t="shared" si="176"/>
        <v>6.2529756237117456E-2</v>
      </c>
      <c r="BA306" s="250">
        <f t="shared" si="177"/>
        <v>6.2529756237082471E-2</v>
      </c>
      <c r="BB306" s="236">
        <f>D306+(BA306+AZ306)/2/1000/$B$251</f>
        <v>2848.2017004007675</v>
      </c>
      <c r="BC306" s="251">
        <f>IF(BB306&lt;(2677.2*C306^0.0161),100.55*C306^0.2536,(BB306+9.0877*C306-2486.6)/(0.0199*C306+1.9776))</f>
        <v>195.9141125141152</v>
      </c>
      <c r="BF306" s="102"/>
      <c r="BG306" s="120"/>
      <c r="BH306" s="102"/>
      <c r="BI306" s="261"/>
      <c r="BJ306" s="119"/>
      <c r="BK306" s="261"/>
      <c r="BL306" s="102"/>
      <c r="BM306" s="119"/>
      <c r="BN306" s="123"/>
      <c r="BO306" s="123"/>
      <c r="BP306" s="123"/>
      <c r="BQ306" s="108"/>
      <c r="BR306" s="108"/>
      <c r="BS306" s="124"/>
      <c r="BT306" s="108"/>
      <c r="BU306" s="260"/>
      <c r="BV306" s="102"/>
      <c r="BW306" s="120"/>
      <c r="BX306" s="120"/>
      <c r="BY306" s="254"/>
      <c r="BZ306" s="254"/>
      <c r="CA306" s="253"/>
      <c r="CB306" s="256"/>
      <c r="CC306" s="256"/>
      <c r="CD306" s="257"/>
      <c r="CE306" s="255"/>
      <c r="CL306" s="254"/>
      <c r="CM306" s="209"/>
      <c r="CN306" s="254"/>
      <c r="CO306" s="28"/>
      <c r="CP306" s="28"/>
      <c r="CQ306" s="28"/>
      <c r="CR306" s="28"/>
      <c r="CS306" s="28"/>
      <c r="CT306" s="28"/>
      <c r="CU306" s="28"/>
      <c r="CV306" s="28"/>
    </row>
    <row r="307" spans="1:135" ht="12" customHeight="1" x14ac:dyDescent="0.2">
      <c r="A307" s="200" t="s">
        <v>455</v>
      </c>
      <c r="B307" s="268">
        <f t="shared" si="182"/>
        <v>195.9141125141152</v>
      </c>
      <c r="C307" s="269">
        <f t="shared" si="178"/>
        <v>4.9793711091959896</v>
      </c>
      <c r="D307" s="270">
        <f t="shared" si="179"/>
        <v>2848.2017004007675</v>
      </c>
      <c r="E307" s="262">
        <f t="shared" si="180"/>
        <v>258.32191951131063</v>
      </c>
      <c r="F307" s="161">
        <f>F306</f>
        <v>2.0000000000000001E-4</v>
      </c>
      <c r="G307" s="118">
        <v>0</v>
      </c>
      <c r="H307" s="118">
        <f t="shared" si="156"/>
        <v>1.9425274231468581E-3</v>
      </c>
      <c r="I307" s="267">
        <f>I306+F307</f>
        <v>1E-3</v>
      </c>
      <c r="J307" s="235">
        <f t="shared" si="157"/>
        <v>2.3680819569824925</v>
      </c>
      <c r="K307" s="243">
        <f t="shared" si="158"/>
        <v>0.31590694189369461</v>
      </c>
      <c r="L307" s="243">
        <f t="shared" si="159"/>
        <v>19.677134318821036</v>
      </c>
      <c r="M307" s="244">
        <f t="shared" si="160"/>
        <v>1.5949472296126158E-5</v>
      </c>
      <c r="N307" s="244">
        <f t="shared" si="161"/>
        <v>13208.8795327115</v>
      </c>
      <c r="O307" s="245">
        <f t="shared" si="162"/>
        <v>4.3912774927657869E-2</v>
      </c>
      <c r="P307" s="244">
        <f t="shared" si="163"/>
        <v>0.8905485320017591</v>
      </c>
      <c r="Q307" s="246">
        <f t="shared" si="164"/>
        <v>1.0133827534614519</v>
      </c>
      <c r="R307" s="235">
        <f t="shared" si="165"/>
        <v>3.4806090112668157E-2</v>
      </c>
      <c r="S307" s="235">
        <f>IF(N307&lt;2500,($B$253/1000/I307)^0.333333,1+($B$253/1000/I307)^0.7)</f>
        <v>3.8752631823141206</v>
      </c>
      <c r="T307" s="235">
        <f>(S307*I307-S306*I306)/(I307-I306)</f>
        <v>1.9308887698665445</v>
      </c>
      <c r="U307" s="235">
        <f t="shared" si="166"/>
        <v>45.785717364522711</v>
      </c>
      <c r="V307" s="235">
        <f t="shared" si="167"/>
        <v>352.47761754904286</v>
      </c>
      <c r="W307" s="271">
        <f t="shared" si="168"/>
        <v>5.0065105535006298</v>
      </c>
      <c r="X307" s="247">
        <f t="shared" si="181"/>
        <v>258.32191951131063</v>
      </c>
      <c r="Y307" s="136">
        <f>0.000000056703*$B$244*$H$250*$H$249*(($B$240)^4-(X307+273)^4)*(($B$237/1000*PI()/2)*($I307-$I306))*($B$243/1000)^2*PI()/4</f>
        <v>2.8022808132788065E-2</v>
      </c>
      <c r="Z307" s="136">
        <f>0.000000056703*$H$248*(($B$241)^4-(X307+273)^4)*($B$237/1000*PI())*($I307-$I306)</f>
        <v>3.4506948104329395E-2</v>
      </c>
      <c r="AA307" s="136">
        <f t="shared" si="169"/>
        <v>6.2529756237117456E-2</v>
      </c>
      <c r="AB307" s="250">
        <f t="shared" si="170"/>
        <v>6.248906887045786E-2</v>
      </c>
      <c r="AC307" s="247">
        <f t="shared" si="171"/>
        <v>259.32191951131063</v>
      </c>
      <c r="AD307" s="136">
        <f>0.000000056703*$B$244*$H$250*$H$249*(($B$240)^4-(AC307+273)^4)*(($B$237/1000*PI()/2)*($I307-$I306))*($B$243/1000)^2*PI()/4</f>
        <v>2.8018890696813879E-2</v>
      </c>
      <c r="AE307" s="136">
        <f>0.000000056703*$H$248*(($B$241)^4-(AC307+273)^4)*($B$237/1000*PI())*($I307-$I306)</f>
        <v>3.4500114273942707E-2</v>
      </c>
      <c r="AF307" s="136">
        <f t="shared" si="172"/>
        <v>6.2519004970756589E-2</v>
      </c>
      <c r="AG307" s="250">
        <f t="shared" si="173"/>
        <v>6.3490370981157979E-2</v>
      </c>
      <c r="AH307" s="247">
        <f>X307+(AA307-AB307)/(AA307-AB307-(AF307-AG307))</f>
        <v>258.36212229861593</v>
      </c>
      <c r="AI307" s="250">
        <f>$W307*($I307-$I306)*(AH307-$B307)</f>
        <v>6.2529324006242684E-2</v>
      </c>
      <c r="AJ307" s="238">
        <f>D307+AI307/1000/B$251</f>
        <v>2848.2852853023433</v>
      </c>
      <c r="AK307" s="250">
        <f>IF(AJ307&lt;(2677.2*C307^0.0161),100.55*C307^0.2536,(AJ307+9.0877*C307-2486.6)/(0.0199*C307+1.9776))</f>
        <v>195.95433937350478</v>
      </c>
      <c r="AL307" s="235">
        <f>(AL306+AK307)/2</f>
        <v>195.91480157548085</v>
      </c>
      <c r="AM307" s="247">
        <f>AH307</f>
        <v>258.36212229861593</v>
      </c>
      <c r="AN307" s="136">
        <f>0.000000056703*$B$244*$H$250*$H$249*(($B$240)^4-(AM307+273)^4)*(($B$237/1000*PI()/2)*($I307-$I306))*($B$243/1000)^2*PI()/4</f>
        <v>2.8022651067043196E-2</v>
      </c>
      <c r="AO307" s="136">
        <f>0.000000056703*$H$248*(($B$241)^4-(AM307+273)^4)*($B$237/1000*PI())*($I307-$I306)</f>
        <v>3.450667410861713E-2</v>
      </c>
      <c r="AP307" s="136">
        <f t="shared" si="174"/>
        <v>6.252932517566033E-2</v>
      </c>
      <c r="AQ307" s="250">
        <f>$W307*($I307-$I306)*(AM307-$B307)</f>
        <v>6.2529324006242684E-2</v>
      </c>
      <c r="AR307" s="247">
        <f>AM307+1</f>
        <v>259.36212229861593</v>
      </c>
      <c r="AS307" s="136">
        <f>0.000000056703*$B$244*$H$250*$H$249*(($B$240)^4-(AR307+273)^4)*(($B$237/1000*PI()/2)*($I307-$I306))*($B$243/1000)^2*PI()/4</f>
        <v>2.8018732742593085E-2</v>
      </c>
      <c r="AT307" s="136">
        <f>0.000000056703*$H$248*(($B$241)^4-(AR307+273)^4)*($B$237/1000*PI())*($I307-$I306)</f>
        <v>3.4499838728315177E-2</v>
      </c>
      <c r="AU307" s="136">
        <f t="shared" si="175"/>
        <v>6.2518571470908266E-2</v>
      </c>
      <c r="AV307" s="250">
        <f>$W307*($I307-$I306)*(AR307-$B307)</f>
        <v>6.3530626116942809E-2</v>
      </c>
      <c r="AW307" s="247">
        <f>AM307+(AP307-AQ307)/(AP307-AQ307-(AU307-AV307))</f>
        <v>258.36212345410325</v>
      </c>
      <c r="AX307" s="136">
        <f>0.000000056703*$B$244*$H$250*$H$249*(($B$240)^4-(AW307+273)^4)*(($B$237/1000*PI()/2)*($I307-$I306))*($B$243/1000)^2*PI()/4</f>
        <v>2.8022651062528384E-2</v>
      </c>
      <c r="AY307" s="136">
        <f>0.000000056703*$H$248*(($B$241)^4-(AW307+273)^4)*($B$237/1000*PI())*($I307-$I306)</f>
        <v>3.4506674100741201E-2</v>
      </c>
      <c r="AZ307" s="136">
        <f t="shared" si="176"/>
        <v>6.2529325163269589E-2</v>
      </c>
      <c r="BA307" s="250">
        <f t="shared" si="177"/>
        <v>6.2529325163234589E-2</v>
      </c>
      <c r="BB307" s="236">
        <f>D307+(BA307+AZ307)/2/1000/$B$251</f>
        <v>2848.2852853038899</v>
      </c>
      <c r="BC307" s="251">
        <f>IF(BB307&lt;(2677.2*C307^0.0161),100.55*C307^0.2536,(BB307+9.0877*C307-2486.6)/(0.0199*C307+1.9776))</f>
        <v>195.95433937424951</v>
      </c>
      <c r="BF307" s="102"/>
      <c r="BG307" s="120"/>
      <c r="BH307" s="102"/>
      <c r="BI307" s="261"/>
      <c r="BJ307" s="119"/>
      <c r="BK307" s="261"/>
      <c r="BL307" s="102"/>
      <c r="BM307" s="119"/>
      <c r="BN307" s="123"/>
      <c r="BO307" s="123"/>
      <c r="BP307" s="123"/>
      <c r="BQ307" s="108"/>
      <c r="BR307" s="108"/>
      <c r="BS307" s="124"/>
      <c r="BT307" s="108"/>
      <c r="BU307" s="260"/>
      <c r="BV307" s="102"/>
      <c r="BW307" s="120"/>
      <c r="BX307" s="120"/>
      <c r="BY307" s="254"/>
      <c r="BZ307" s="254"/>
      <c r="CA307" s="253"/>
      <c r="CB307" s="256"/>
      <c r="CC307" s="256"/>
      <c r="CD307" s="257"/>
      <c r="CE307" s="255"/>
      <c r="CL307" s="254"/>
      <c r="CM307" s="209"/>
      <c r="CN307" s="254"/>
      <c r="CO307" s="28"/>
      <c r="CP307" s="28"/>
      <c r="CQ307" s="28"/>
      <c r="CR307" s="28"/>
      <c r="CS307" s="28"/>
      <c r="CT307" s="28"/>
      <c r="CU307" s="28"/>
      <c r="CV307" s="28"/>
    </row>
    <row r="308" spans="1:135" ht="12" customHeight="1" x14ac:dyDescent="0.2">
      <c r="A308" s="187"/>
      <c r="B308" s="268">
        <f t="shared" si="182"/>
        <v>195.95433937424951</v>
      </c>
      <c r="C308" s="269">
        <f t="shared" si="178"/>
        <v>4.9793622037106697</v>
      </c>
      <c r="D308" s="270">
        <f t="shared" si="179"/>
        <v>2848.2852853038899</v>
      </c>
      <c r="E308" s="262"/>
      <c r="F308" s="112"/>
      <c r="G308" s="116"/>
      <c r="H308" s="109"/>
      <c r="I308" s="109"/>
      <c r="J308" s="116"/>
      <c r="K308" s="116"/>
      <c r="L308" s="14"/>
      <c r="M308" s="109"/>
      <c r="N308" s="109"/>
      <c r="O308" s="14"/>
      <c r="P308" s="14"/>
      <c r="Q308" s="175"/>
      <c r="R308" s="14"/>
      <c r="S308" s="14"/>
      <c r="T308" s="108"/>
      <c r="U308" s="14"/>
      <c r="V308" s="175"/>
      <c r="W308" s="14"/>
      <c r="X308" s="14"/>
      <c r="Y308" s="108"/>
      <c r="AB308" s="14"/>
      <c r="AC308" s="175"/>
      <c r="AF308" s="14"/>
      <c r="AG308" s="14"/>
      <c r="AH308" s="108"/>
      <c r="AI308" s="14"/>
      <c r="AJ308" s="14"/>
      <c r="AK308" s="120"/>
      <c r="AL308" s="120"/>
      <c r="AM308" s="272"/>
      <c r="AN308" s="273"/>
      <c r="AO308" s="274"/>
      <c r="AP308" s="108"/>
      <c r="AQ308" s="260"/>
      <c r="AR308" s="102"/>
      <c r="AU308" s="120"/>
      <c r="AV308" s="120"/>
      <c r="AX308" s="119"/>
      <c r="AY308" s="123"/>
      <c r="AZ308" s="272">
        <f>SUM(AZ297:AZ307)</f>
        <v>0.62531219199900001</v>
      </c>
      <c r="BA308" s="272">
        <f>SUM(BA297:BA307)</f>
        <v>0.62531464326777531</v>
      </c>
      <c r="BB308" s="123"/>
      <c r="BC308" s="108"/>
      <c r="BD308" s="108"/>
      <c r="BE308" s="260"/>
      <c r="BF308" s="102"/>
      <c r="BG308" s="120"/>
      <c r="BH308" s="102"/>
      <c r="BI308" s="261"/>
      <c r="BJ308" s="119"/>
      <c r="BK308" s="261"/>
      <c r="BL308" s="102"/>
      <c r="BM308" s="119"/>
      <c r="BN308" s="123"/>
      <c r="BO308" s="123"/>
      <c r="BP308" s="123"/>
      <c r="BQ308" s="108"/>
      <c r="BR308" s="108"/>
      <c r="BS308" s="124"/>
      <c r="BT308" s="108"/>
      <c r="BU308" s="260"/>
      <c r="BV308" s="102"/>
      <c r="BW308" s="120"/>
      <c r="BX308" s="120"/>
      <c r="BY308" s="254"/>
      <c r="BZ308" s="254"/>
      <c r="CA308" s="253"/>
      <c r="CB308" s="256"/>
      <c r="CC308" s="256"/>
      <c r="CD308" s="257"/>
      <c r="CE308" s="255"/>
      <c r="CL308" s="254"/>
      <c r="CM308" s="209"/>
      <c r="CN308" s="254"/>
      <c r="CO308" s="28"/>
      <c r="CP308" s="28"/>
      <c r="CQ308" s="28"/>
      <c r="CR308" s="28"/>
      <c r="CS308" s="28"/>
      <c r="CT308" s="28"/>
      <c r="CU308" s="28"/>
      <c r="CV308" s="28"/>
    </row>
    <row r="309" spans="1:135" ht="12" customHeight="1" x14ac:dyDescent="0.2">
      <c r="A309" s="187"/>
      <c r="B309" s="14"/>
      <c r="D309" s="37"/>
      <c r="E309" s="275"/>
      <c r="F309" s="102"/>
      <c r="G309" s="119"/>
      <c r="H309" s="108"/>
      <c r="I309" s="108"/>
      <c r="J309" s="260"/>
      <c r="K309" s="102"/>
      <c r="L309" s="120"/>
      <c r="M309" s="120"/>
      <c r="N309" s="175"/>
      <c r="O309" s="175"/>
      <c r="P309" s="104"/>
      <c r="Q309" s="175"/>
      <c r="R309" s="175"/>
      <c r="S309" s="119"/>
      <c r="T309" s="175"/>
      <c r="U309" s="104"/>
      <c r="V309" s="175"/>
      <c r="W309" s="175"/>
      <c r="X309" s="119"/>
      <c r="Y309" s="175"/>
      <c r="Z309" s="104"/>
      <c r="AA309" s="175"/>
      <c r="AB309" s="175"/>
      <c r="AC309" s="119"/>
      <c r="AD309" s="102"/>
      <c r="AE309" s="14"/>
      <c r="AF309" s="120"/>
      <c r="AG309" s="120"/>
      <c r="AH309" s="272"/>
      <c r="AI309" s="273"/>
      <c r="AJ309" s="274"/>
      <c r="AK309" s="108"/>
      <c r="AL309" s="260"/>
      <c r="AM309" s="102"/>
      <c r="AN309" s="120"/>
      <c r="AO309" s="120"/>
      <c r="AP309" s="261"/>
      <c r="AQ309" s="272"/>
      <c r="AR309" s="119"/>
      <c r="AS309" s="123"/>
      <c r="AT309" s="123"/>
      <c r="AU309" s="124"/>
      <c r="AV309" s="124"/>
      <c r="AW309" s="108"/>
      <c r="AX309" s="102"/>
      <c r="AY309" s="102"/>
      <c r="AZ309" s="119"/>
      <c r="BA309" s="123"/>
      <c r="BB309" s="123"/>
      <c r="BC309" s="108"/>
      <c r="BD309" s="108"/>
      <c r="BE309" s="260"/>
      <c r="BF309" s="102"/>
      <c r="BG309" s="120"/>
      <c r="BH309" s="102"/>
      <c r="BI309" s="261"/>
      <c r="BJ309" s="119"/>
      <c r="BK309" s="261"/>
      <c r="BL309" s="102"/>
      <c r="BM309" s="119"/>
      <c r="BN309" s="123"/>
      <c r="BO309" s="123"/>
      <c r="BP309" s="123"/>
      <c r="BQ309" s="108"/>
      <c r="BR309" s="108"/>
      <c r="BS309" s="124"/>
      <c r="BT309" s="108"/>
      <c r="BU309" s="260"/>
      <c r="BV309" s="102"/>
      <c r="BW309" s="120"/>
      <c r="BX309" s="120"/>
      <c r="BY309" s="254"/>
      <c r="BZ309" s="254"/>
      <c r="CA309" s="253"/>
      <c r="CB309" s="256"/>
      <c r="CC309" s="256"/>
      <c r="CD309" s="257"/>
      <c r="CE309" s="255"/>
      <c r="CL309" s="254"/>
      <c r="CM309" s="209"/>
      <c r="CN309" s="254"/>
      <c r="CO309" s="28"/>
      <c r="CP309" s="28"/>
      <c r="CQ309" s="28"/>
      <c r="CR309" s="28"/>
      <c r="CS309" s="28"/>
      <c r="CT309" s="28"/>
      <c r="CU309" s="28"/>
      <c r="CV309" s="28"/>
    </row>
    <row r="310" spans="1:135" ht="12" customHeight="1" x14ac:dyDescent="0.2">
      <c r="A310" s="36" t="s">
        <v>456</v>
      </c>
      <c r="B310" s="26"/>
      <c r="C310" s="1"/>
      <c r="E310" s="1"/>
      <c r="I310" s="1"/>
      <c r="J310" s="1"/>
      <c r="K310" s="129"/>
      <c r="L310" s="12"/>
      <c r="M310" s="1"/>
      <c r="N310" s="1"/>
      <c r="O310" s="1"/>
      <c r="P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D310" s="1"/>
      <c r="AE310" s="1"/>
      <c r="AF310" s="1"/>
      <c r="AG310" s="1"/>
      <c r="AH310" s="1"/>
      <c r="AI310" s="1"/>
      <c r="AJ310" s="1"/>
      <c r="AK310" s="1"/>
      <c r="AL310" s="260"/>
      <c r="AM310" s="102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E310" s="1"/>
      <c r="BF310" s="1"/>
      <c r="BG310" s="1"/>
      <c r="BH310" s="1"/>
      <c r="BI310" s="1"/>
      <c r="BJ310" s="9" t="s">
        <v>412</v>
      </c>
      <c r="BQ310" s="1"/>
      <c r="BR310" s="1"/>
      <c r="BZ310" s="9" t="s">
        <v>412</v>
      </c>
      <c r="CU310" s="9" t="s">
        <v>412</v>
      </c>
      <c r="DB310" s="1"/>
      <c r="DC310" s="1"/>
      <c r="DK310" s="9" t="s">
        <v>412</v>
      </c>
    </row>
    <row r="311" spans="1:135" ht="12" customHeight="1" x14ac:dyDescent="0.2">
      <c r="A311" s="36"/>
      <c r="B311" s="218"/>
      <c r="C311" s="218"/>
      <c r="D311" s="218"/>
      <c r="E311" s="217"/>
      <c r="F311" s="218"/>
      <c r="G311" s="217"/>
      <c r="I311" s="151"/>
      <c r="J311" s="133" t="s">
        <v>414</v>
      </c>
      <c r="K311" s="132"/>
      <c r="L311" s="132"/>
      <c r="M311" s="132"/>
      <c r="N311" s="132"/>
      <c r="O311" s="132"/>
      <c r="P311" s="132"/>
      <c r="Q311" s="132"/>
      <c r="R311" s="132"/>
      <c r="S311" s="132"/>
      <c r="T311" s="132"/>
      <c r="U311" s="132"/>
      <c r="V311" s="132"/>
      <c r="W311" s="132"/>
      <c r="X311" s="132"/>
      <c r="Y311" s="132"/>
      <c r="Z311" s="132"/>
      <c r="AA311" s="133" t="s">
        <v>205</v>
      </c>
      <c r="AB311" s="1"/>
      <c r="AC311" s="217"/>
      <c r="AD311" s="217"/>
      <c r="AE311" s="217"/>
      <c r="AF311" s="217"/>
      <c r="AG311" s="217"/>
      <c r="AH311" s="217"/>
      <c r="AI311" s="217"/>
      <c r="AJ311" s="217"/>
      <c r="AK311" s="217"/>
      <c r="AL311" s="217"/>
      <c r="AM311" s="217"/>
      <c r="AN311" s="217"/>
      <c r="AO311" s="217"/>
      <c r="AP311" s="217"/>
      <c r="AQ311" s="217"/>
      <c r="AR311" s="217"/>
      <c r="AT311" s="217"/>
      <c r="AU311" s="217"/>
      <c r="AV311" s="217"/>
      <c r="AW311" s="217"/>
      <c r="AX311" s="217"/>
      <c r="AY311" s="217"/>
      <c r="AZ311" s="217"/>
      <c r="BA311" s="217"/>
      <c r="BB311" s="217"/>
      <c r="BC311" s="217"/>
      <c r="BD311" s="217"/>
      <c r="BE311" s="217"/>
      <c r="BF311" s="217"/>
      <c r="BG311" s="217"/>
      <c r="BH311" s="217"/>
      <c r="BI311" s="217"/>
      <c r="BJ311" s="109" t="s">
        <v>457</v>
      </c>
      <c r="BK311" s="9" t="s">
        <v>458</v>
      </c>
      <c r="BM311" s="28"/>
      <c r="BN311" s="109" t="s">
        <v>459</v>
      </c>
      <c r="BQ311" s="1"/>
      <c r="BR311" s="109" t="s">
        <v>460</v>
      </c>
      <c r="BV311" s="218" t="s">
        <v>461</v>
      </c>
      <c r="BW311" s="218"/>
      <c r="BX311" s="218"/>
      <c r="BY311" s="218"/>
      <c r="BZ311" s="109" t="s">
        <v>457</v>
      </c>
      <c r="CA311" s="9" t="s">
        <v>462</v>
      </c>
      <c r="CC311" s="109"/>
      <c r="CD311" s="109" t="s">
        <v>459</v>
      </c>
      <c r="CF311" s="1"/>
      <c r="CG311" s="109"/>
      <c r="CH311" s="109" t="s">
        <v>460</v>
      </c>
      <c r="CL311" s="218" t="s">
        <v>463</v>
      </c>
      <c r="CM311" s="218"/>
      <c r="CN311" s="217"/>
      <c r="CO311" s="217"/>
      <c r="CP311" s="97" t="s">
        <v>464</v>
      </c>
      <c r="CQ311" s="132" t="s">
        <v>465</v>
      </c>
      <c r="CR311" s="202"/>
      <c r="CS311" s="132"/>
      <c r="CT311" s="132"/>
      <c r="CU311" s="109" t="s">
        <v>457</v>
      </c>
      <c r="CV311" s="9" t="s">
        <v>458</v>
      </c>
      <c r="CX311" s="28"/>
      <c r="CY311" s="109" t="s">
        <v>459</v>
      </c>
      <c r="DB311" s="1"/>
      <c r="DC311" s="109" t="s">
        <v>460</v>
      </c>
      <c r="DG311" s="218" t="s">
        <v>461</v>
      </c>
      <c r="DH311" s="218"/>
      <c r="DI311" s="218"/>
      <c r="DJ311" s="218"/>
      <c r="DK311" s="109" t="s">
        <v>457</v>
      </c>
      <c r="DL311" s="9" t="s">
        <v>462</v>
      </c>
      <c r="DN311" s="109"/>
      <c r="DO311" s="109" t="s">
        <v>459</v>
      </c>
      <c r="DQ311" s="1"/>
      <c r="DR311" s="109"/>
      <c r="DS311" s="109" t="s">
        <v>460</v>
      </c>
      <c r="DW311" s="218" t="s">
        <v>463</v>
      </c>
      <c r="DX311" s="218"/>
      <c r="DY311" s="217"/>
      <c r="DZ311" s="217"/>
      <c r="EA311" s="131" t="s">
        <v>464</v>
      </c>
      <c r="EB311" s="132" t="s">
        <v>465</v>
      </c>
      <c r="EC311" s="202"/>
      <c r="ED311" s="132"/>
      <c r="EE311" s="132"/>
    </row>
    <row r="312" spans="1:135" ht="12" customHeight="1" x14ac:dyDescent="0.2">
      <c r="A312" s="200"/>
      <c r="B312" s="276" t="s">
        <v>466</v>
      </c>
      <c r="C312" s="277"/>
      <c r="D312" s="278"/>
      <c r="E312" s="276" t="s">
        <v>420</v>
      </c>
      <c r="F312" s="277"/>
      <c r="G312" s="278"/>
      <c r="I312" s="224" t="s">
        <v>414</v>
      </c>
      <c r="J312" s="133" t="s">
        <v>195</v>
      </c>
      <c r="K312" s="132"/>
      <c r="L312" s="132"/>
      <c r="M312" s="132"/>
      <c r="N312" s="132" t="s">
        <v>467</v>
      </c>
      <c r="O312" s="132"/>
      <c r="P312" s="132"/>
      <c r="Q312" s="132"/>
      <c r="R312" s="132"/>
      <c r="S312" s="132"/>
      <c r="T312" s="132"/>
      <c r="U312" s="132"/>
      <c r="V312" s="132"/>
      <c r="W312" s="132"/>
      <c r="X312" s="132"/>
      <c r="Y312" s="132"/>
      <c r="Z312" s="133"/>
      <c r="AA312" s="133" t="s">
        <v>421</v>
      </c>
      <c r="AB312" s="1"/>
      <c r="AC312" s="217"/>
      <c r="AD312" s="217"/>
      <c r="AE312" s="217"/>
      <c r="AF312" s="217"/>
      <c r="AG312" s="217"/>
      <c r="AH312" s="217" t="s">
        <v>468</v>
      </c>
      <c r="AI312" s="217"/>
      <c r="AJ312" s="217"/>
      <c r="AK312" s="217"/>
      <c r="AL312" s="217"/>
      <c r="AM312" s="217"/>
      <c r="AN312" s="217"/>
      <c r="AO312" s="217"/>
      <c r="AP312" s="217"/>
      <c r="AQ312" s="217"/>
      <c r="AR312" s="217"/>
      <c r="AT312" s="217"/>
      <c r="AU312" s="217"/>
      <c r="AV312" s="217"/>
      <c r="AW312" s="217"/>
      <c r="AX312" s="217"/>
      <c r="AY312" s="217" t="s">
        <v>422</v>
      </c>
      <c r="AZ312" s="217"/>
      <c r="BA312" s="217"/>
      <c r="BB312" s="217"/>
      <c r="BC312" s="217"/>
      <c r="BD312" s="217"/>
      <c r="BE312" s="217"/>
      <c r="BF312" s="217"/>
      <c r="BG312" s="217"/>
      <c r="BH312" s="217"/>
      <c r="BI312" s="217"/>
      <c r="BJ312" s="109" t="s">
        <v>459</v>
      </c>
      <c r="BK312" s="133" t="s">
        <v>469</v>
      </c>
      <c r="BL312" s="97" t="s">
        <v>470</v>
      </c>
      <c r="BM312" s="218" t="s">
        <v>469</v>
      </c>
      <c r="BN312" s="109" t="s">
        <v>471</v>
      </c>
      <c r="BO312" s="133" t="s">
        <v>469</v>
      </c>
      <c r="BP312" s="97" t="s">
        <v>470</v>
      </c>
      <c r="BQ312" s="218" t="s">
        <v>469</v>
      </c>
      <c r="BR312" s="109" t="s">
        <v>459</v>
      </c>
      <c r="BS312" s="133" t="s">
        <v>469</v>
      </c>
      <c r="BT312" s="97" t="s">
        <v>470</v>
      </c>
      <c r="BU312" s="218" t="s">
        <v>469</v>
      </c>
      <c r="BV312" s="225" t="s">
        <v>448</v>
      </c>
      <c r="BW312" s="218"/>
      <c r="BX312" s="217"/>
      <c r="BY312" s="225" t="s">
        <v>180</v>
      </c>
      <c r="BZ312" s="109" t="s">
        <v>459</v>
      </c>
      <c r="CA312" s="133" t="s">
        <v>469</v>
      </c>
      <c r="CB312" s="97" t="s">
        <v>470</v>
      </c>
      <c r="CC312" s="218" t="s">
        <v>469</v>
      </c>
      <c r="CD312" s="109" t="s">
        <v>471</v>
      </c>
      <c r="CE312" s="133" t="s">
        <v>469</v>
      </c>
      <c r="CF312" s="97" t="s">
        <v>470</v>
      </c>
      <c r="CG312" s="218" t="s">
        <v>469</v>
      </c>
      <c r="CH312" s="109" t="s">
        <v>459</v>
      </c>
      <c r="CI312" s="133" t="s">
        <v>469</v>
      </c>
      <c r="CJ312" s="97" t="s">
        <v>470</v>
      </c>
      <c r="CK312" s="218" t="s">
        <v>469</v>
      </c>
      <c r="CL312" s="217" t="s">
        <v>448</v>
      </c>
      <c r="CM312" s="218"/>
      <c r="CN312" s="217"/>
      <c r="CO312" s="225" t="s">
        <v>180</v>
      </c>
      <c r="CP312" s="97" t="s">
        <v>472</v>
      </c>
      <c r="CQ312" s="133" t="s">
        <v>205</v>
      </c>
      <c r="CR312" s="202" t="s">
        <v>361</v>
      </c>
      <c r="CS312" s="132" t="s">
        <v>188</v>
      </c>
      <c r="CT312" s="133" t="s">
        <v>180</v>
      </c>
      <c r="CU312" s="109" t="s">
        <v>459</v>
      </c>
      <c r="CV312" s="133" t="s">
        <v>469</v>
      </c>
      <c r="CW312" s="97" t="s">
        <v>470</v>
      </c>
      <c r="CX312" s="218" t="s">
        <v>469</v>
      </c>
      <c r="CY312" s="109" t="s">
        <v>471</v>
      </c>
      <c r="CZ312" s="133" t="s">
        <v>469</v>
      </c>
      <c r="DA312" s="97" t="s">
        <v>470</v>
      </c>
      <c r="DB312" s="218" t="s">
        <v>469</v>
      </c>
      <c r="DC312" s="109" t="s">
        <v>459</v>
      </c>
      <c r="DD312" s="133" t="s">
        <v>469</v>
      </c>
      <c r="DE312" s="97" t="s">
        <v>470</v>
      </c>
      <c r="DF312" s="218" t="s">
        <v>469</v>
      </c>
      <c r="DG312" s="225" t="s">
        <v>448</v>
      </c>
      <c r="DH312" s="218"/>
      <c r="DI312" s="217"/>
      <c r="DJ312" s="225" t="s">
        <v>180</v>
      </c>
      <c r="DK312" s="109" t="s">
        <v>459</v>
      </c>
      <c r="DL312" s="133" t="s">
        <v>469</v>
      </c>
      <c r="DM312" s="97" t="s">
        <v>470</v>
      </c>
      <c r="DN312" s="218" t="s">
        <v>469</v>
      </c>
      <c r="DO312" s="109" t="s">
        <v>471</v>
      </c>
      <c r="DP312" s="133" t="s">
        <v>469</v>
      </c>
      <c r="DQ312" s="97" t="s">
        <v>470</v>
      </c>
      <c r="DR312" s="218" t="s">
        <v>469</v>
      </c>
      <c r="DS312" s="109" t="s">
        <v>459</v>
      </c>
      <c r="DT312" s="133" t="s">
        <v>469</v>
      </c>
      <c r="DU312" s="97" t="s">
        <v>470</v>
      </c>
      <c r="DV312" s="218" t="s">
        <v>469</v>
      </c>
      <c r="DW312" s="217" t="s">
        <v>448</v>
      </c>
      <c r="DX312" s="218"/>
      <c r="DY312" s="217"/>
      <c r="DZ312" s="225" t="s">
        <v>180</v>
      </c>
      <c r="EA312" s="131" t="s">
        <v>472</v>
      </c>
      <c r="EB312" s="133" t="s">
        <v>205</v>
      </c>
      <c r="EC312" s="202" t="s">
        <v>361</v>
      </c>
      <c r="ED312" s="132" t="s">
        <v>188</v>
      </c>
      <c r="EE312" s="133" t="s">
        <v>180</v>
      </c>
    </row>
    <row r="313" spans="1:135" ht="12" customHeight="1" x14ac:dyDescent="0.2">
      <c r="A313" s="200"/>
      <c r="B313" s="226" t="s">
        <v>426</v>
      </c>
      <c r="C313" s="225" t="s">
        <v>426</v>
      </c>
      <c r="D313" s="228" t="s">
        <v>426</v>
      </c>
      <c r="E313" s="226" t="s">
        <v>426</v>
      </c>
      <c r="F313" s="225" t="s">
        <v>426</v>
      </c>
      <c r="G313" s="228" t="s">
        <v>426</v>
      </c>
      <c r="H313" s="112" t="s">
        <v>414</v>
      </c>
      <c r="I313" s="133" t="s">
        <v>427</v>
      </c>
      <c r="J313" s="133" t="s">
        <v>243</v>
      </c>
      <c r="K313" s="133"/>
      <c r="L313" s="133" t="s">
        <v>197</v>
      </c>
      <c r="M313" s="133" t="s">
        <v>197</v>
      </c>
      <c r="N313" s="133" t="s">
        <v>428</v>
      </c>
      <c r="O313" s="132"/>
      <c r="P313" s="132"/>
      <c r="Q313" s="132"/>
      <c r="R313" s="132"/>
      <c r="S313" s="132"/>
      <c r="T313" s="133" t="s">
        <v>199</v>
      </c>
      <c r="U313" s="134"/>
      <c r="V313" s="133" t="s">
        <v>200</v>
      </c>
      <c r="W313" s="133"/>
      <c r="X313" s="133"/>
      <c r="Y313" s="133" t="s">
        <v>257</v>
      </c>
      <c r="Z313" s="133" t="s">
        <v>205</v>
      </c>
      <c r="AA313" s="133" t="s">
        <v>429</v>
      </c>
      <c r="AB313" s="1"/>
      <c r="AC313" s="225"/>
      <c r="AD313" s="217" t="s">
        <v>197</v>
      </c>
      <c r="AE313" s="225" t="s">
        <v>428</v>
      </c>
      <c r="AF313" s="217"/>
      <c r="AG313" s="217"/>
      <c r="AH313" s="217"/>
      <c r="AI313" s="217"/>
      <c r="AJ313" s="217"/>
      <c r="AK313" s="225" t="s">
        <v>199</v>
      </c>
      <c r="AL313" s="229"/>
      <c r="AM313" s="225" t="s">
        <v>200</v>
      </c>
      <c r="AN313" s="225" t="s">
        <v>256</v>
      </c>
      <c r="AO313" s="225" t="s">
        <v>257</v>
      </c>
      <c r="AP313" s="225" t="s">
        <v>257</v>
      </c>
      <c r="AQ313" s="225" t="s">
        <v>205</v>
      </c>
      <c r="AR313" s="225" t="s">
        <v>205</v>
      </c>
      <c r="AT313" s="225"/>
      <c r="AU313" s="217" t="s">
        <v>197</v>
      </c>
      <c r="AV313" s="225" t="s">
        <v>428</v>
      </c>
      <c r="AW313" s="217"/>
      <c r="AX313" s="217"/>
      <c r="AY313" s="217"/>
      <c r="AZ313" s="217"/>
      <c r="BA313" s="217"/>
      <c r="BB313" s="225" t="s">
        <v>199</v>
      </c>
      <c r="BC313" s="229"/>
      <c r="BD313" s="225" t="s">
        <v>200</v>
      </c>
      <c r="BE313" s="225" t="s">
        <v>256</v>
      </c>
      <c r="BF313" s="279" t="s">
        <v>257</v>
      </c>
      <c r="BG313" s="225" t="s">
        <v>257</v>
      </c>
      <c r="BH313" s="225" t="s">
        <v>205</v>
      </c>
      <c r="BI313" s="217" t="s">
        <v>205</v>
      </c>
      <c r="BJ313" s="109" t="s">
        <v>471</v>
      </c>
      <c r="BK313" s="133" t="s">
        <v>473</v>
      </c>
      <c r="BL313" s="97" t="s">
        <v>473</v>
      </c>
      <c r="BM313" s="218" t="s">
        <v>474</v>
      </c>
      <c r="BN313" s="109" t="s">
        <v>475</v>
      </c>
      <c r="BO313" s="133" t="s">
        <v>473</v>
      </c>
      <c r="BP313" s="97" t="s">
        <v>473</v>
      </c>
      <c r="BQ313" s="218" t="s">
        <v>474</v>
      </c>
      <c r="BR313" s="109" t="s">
        <v>471</v>
      </c>
      <c r="BS313" s="133" t="s">
        <v>473</v>
      </c>
      <c r="BT313" s="97" t="s">
        <v>473</v>
      </c>
      <c r="BU313" s="218" t="s">
        <v>474</v>
      </c>
      <c r="BV313" s="225" t="s">
        <v>205</v>
      </c>
      <c r="BW313" s="225" t="s">
        <v>432</v>
      </c>
      <c r="BX313" s="225" t="s">
        <v>196</v>
      </c>
      <c r="BY313" s="225" t="s">
        <v>196</v>
      </c>
      <c r="BZ313" s="109" t="s">
        <v>471</v>
      </c>
      <c r="CA313" s="133" t="s">
        <v>473</v>
      </c>
      <c r="CB313" s="97" t="s">
        <v>473</v>
      </c>
      <c r="CC313" s="218" t="s">
        <v>474</v>
      </c>
      <c r="CD313" s="109" t="s">
        <v>475</v>
      </c>
      <c r="CE313" s="133" t="s">
        <v>473</v>
      </c>
      <c r="CF313" s="97" t="s">
        <v>473</v>
      </c>
      <c r="CG313" s="218" t="s">
        <v>474</v>
      </c>
      <c r="CH313" s="109" t="s">
        <v>471</v>
      </c>
      <c r="CI313" s="133" t="s">
        <v>473</v>
      </c>
      <c r="CJ313" s="97" t="s">
        <v>473</v>
      </c>
      <c r="CK313" s="218" t="s">
        <v>474</v>
      </c>
      <c r="CL313" s="217" t="s">
        <v>205</v>
      </c>
      <c r="CM313" s="225" t="s">
        <v>432</v>
      </c>
      <c r="CN313" s="225" t="s">
        <v>196</v>
      </c>
      <c r="CO313" s="225" t="s">
        <v>196</v>
      </c>
      <c r="CP313" s="97" t="s">
        <v>476</v>
      </c>
      <c r="CQ313" s="134" t="s">
        <v>421</v>
      </c>
      <c r="CR313" s="202" t="s">
        <v>477</v>
      </c>
      <c r="CS313" s="133" t="s">
        <v>196</v>
      </c>
      <c r="CT313" s="134" t="s">
        <v>209</v>
      </c>
      <c r="CU313" s="109" t="s">
        <v>471</v>
      </c>
      <c r="CV313" s="133" t="s">
        <v>473</v>
      </c>
      <c r="CW313" s="97" t="s">
        <v>473</v>
      </c>
      <c r="CX313" s="218" t="s">
        <v>474</v>
      </c>
      <c r="CY313" s="109" t="s">
        <v>475</v>
      </c>
      <c r="CZ313" s="133" t="s">
        <v>473</v>
      </c>
      <c r="DA313" s="97" t="s">
        <v>473</v>
      </c>
      <c r="DB313" s="218" t="s">
        <v>474</v>
      </c>
      <c r="DC313" s="109" t="s">
        <v>471</v>
      </c>
      <c r="DD313" s="133" t="s">
        <v>473</v>
      </c>
      <c r="DE313" s="97" t="s">
        <v>473</v>
      </c>
      <c r="DF313" s="218" t="s">
        <v>474</v>
      </c>
      <c r="DG313" s="225" t="s">
        <v>205</v>
      </c>
      <c r="DH313" s="225" t="s">
        <v>432</v>
      </c>
      <c r="DI313" s="225" t="s">
        <v>196</v>
      </c>
      <c r="DJ313" s="225" t="s">
        <v>196</v>
      </c>
      <c r="DK313" s="109" t="s">
        <v>471</v>
      </c>
      <c r="DL313" s="133" t="s">
        <v>473</v>
      </c>
      <c r="DM313" s="97" t="s">
        <v>473</v>
      </c>
      <c r="DN313" s="218" t="s">
        <v>474</v>
      </c>
      <c r="DO313" s="109" t="s">
        <v>475</v>
      </c>
      <c r="DP313" s="133" t="s">
        <v>473</v>
      </c>
      <c r="DQ313" s="97" t="s">
        <v>473</v>
      </c>
      <c r="DR313" s="218" t="s">
        <v>474</v>
      </c>
      <c r="DS313" s="109" t="s">
        <v>471</v>
      </c>
      <c r="DT313" s="133" t="s">
        <v>473</v>
      </c>
      <c r="DU313" s="97" t="s">
        <v>473</v>
      </c>
      <c r="DV313" s="218" t="s">
        <v>474</v>
      </c>
      <c r="DW313" s="217" t="s">
        <v>205</v>
      </c>
      <c r="DX313" s="225" t="s">
        <v>432</v>
      </c>
      <c r="DY313" s="225" t="s">
        <v>196</v>
      </c>
      <c r="DZ313" s="225" t="s">
        <v>196</v>
      </c>
      <c r="EA313" s="131" t="s">
        <v>476</v>
      </c>
      <c r="EB313" s="134" t="s">
        <v>421</v>
      </c>
      <c r="EC313" s="202" t="s">
        <v>477</v>
      </c>
      <c r="ED313" s="133" t="s">
        <v>196</v>
      </c>
      <c r="EE313" s="134" t="s">
        <v>209</v>
      </c>
    </row>
    <row r="314" spans="1:135" ht="12" customHeight="1" x14ac:dyDescent="0.2">
      <c r="A314" s="204"/>
      <c r="B314" s="226" t="s">
        <v>214</v>
      </c>
      <c r="C314" s="225" t="s">
        <v>433</v>
      </c>
      <c r="D314" s="228" t="s">
        <v>432</v>
      </c>
      <c r="E314" s="226" t="s">
        <v>214</v>
      </c>
      <c r="F314" s="225" t="s">
        <v>433</v>
      </c>
      <c r="G314" s="228" t="s">
        <v>432</v>
      </c>
      <c r="H314" s="115" t="s">
        <v>244</v>
      </c>
      <c r="I314" s="133" t="s">
        <v>214</v>
      </c>
      <c r="J314" s="133" t="s">
        <v>61</v>
      </c>
      <c r="K314" s="134" t="s">
        <v>245</v>
      </c>
      <c r="L314" s="133" t="s">
        <v>196</v>
      </c>
      <c r="M314" s="133" t="s">
        <v>247</v>
      </c>
      <c r="N314" s="133" t="s">
        <v>434</v>
      </c>
      <c r="O314" s="134" t="s">
        <v>248</v>
      </c>
      <c r="P314" s="134" t="s">
        <v>249</v>
      </c>
      <c r="Q314" s="133" t="s">
        <v>250</v>
      </c>
      <c r="R314" s="134" t="s">
        <v>251</v>
      </c>
      <c r="S314" s="134" t="s">
        <v>252</v>
      </c>
      <c r="T314" s="134" t="s">
        <v>253</v>
      </c>
      <c r="U314" s="134" t="s">
        <v>254</v>
      </c>
      <c r="V314" s="133" t="s">
        <v>255</v>
      </c>
      <c r="W314" s="133" t="s">
        <v>256</v>
      </c>
      <c r="X314" s="133" t="s">
        <v>257</v>
      </c>
      <c r="Y314" s="133" t="s">
        <v>260</v>
      </c>
      <c r="Z314" s="133" t="s">
        <v>262</v>
      </c>
      <c r="AA314" s="133" t="s">
        <v>435</v>
      </c>
      <c r="AB314" s="1"/>
      <c r="AC314" s="229" t="s">
        <v>245</v>
      </c>
      <c r="AD314" s="217" t="s">
        <v>247</v>
      </c>
      <c r="AE314" s="225" t="s">
        <v>434</v>
      </c>
      <c r="AF314" s="229" t="s">
        <v>248</v>
      </c>
      <c r="AG314" s="229" t="s">
        <v>249</v>
      </c>
      <c r="AH314" s="217" t="s">
        <v>250</v>
      </c>
      <c r="AI314" s="229" t="s">
        <v>251</v>
      </c>
      <c r="AJ314" s="229" t="s">
        <v>252</v>
      </c>
      <c r="AK314" s="229" t="s">
        <v>253</v>
      </c>
      <c r="AL314" s="229" t="s">
        <v>254</v>
      </c>
      <c r="AM314" s="217" t="s">
        <v>255</v>
      </c>
      <c r="AN314" s="225" t="s">
        <v>243</v>
      </c>
      <c r="AO314" s="225" t="s">
        <v>282</v>
      </c>
      <c r="AP314" s="225" t="s">
        <v>260</v>
      </c>
      <c r="AQ314" s="225" t="s">
        <v>262</v>
      </c>
      <c r="AR314" s="225" t="s">
        <v>421</v>
      </c>
      <c r="AT314" s="229" t="s">
        <v>245</v>
      </c>
      <c r="AU314" s="217" t="s">
        <v>247</v>
      </c>
      <c r="AV314" s="225" t="s">
        <v>434</v>
      </c>
      <c r="AW314" s="229" t="s">
        <v>248</v>
      </c>
      <c r="AX314" s="229" t="s">
        <v>249</v>
      </c>
      <c r="AY314" s="217" t="s">
        <v>250</v>
      </c>
      <c r="AZ314" s="229" t="s">
        <v>251</v>
      </c>
      <c r="BA314" s="229" t="s">
        <v>252</v>
      </c>
      <c r="BB314" s="229" t="s">
        <v>253</v>
      </c>
      <c r="BC314" s="229" t="s">
        <v>254</v>
      </c>
      <c r="BD314" s="217" t="s">
        <v>255</v>
      </c>
      <c r="BE314" s="225" t="s">
        <v>243</v>
      </c>
      <c r="BF314" s="279" t="s">
        <v>282</v>
      </c>
      <c r="BG314" s="225" t="s">
        <v>260</v>
      </c>
      <c r="BH314" s="225" t="s">
        <v>262</v>
      </c>
      <c r="BI314" s="217" t="s">
        <v>421</v>
      </c>
      <c r="BJ314" s="109" t="s">
        <v>475</v>
      </c>
      <c r="BK314" s="133" t="s">
        <v>478</v>
      </c>
      <c r="BL314" s="93" t="s">
        <v>478</v>
      </c>
      <c r="BM314" s="217" t="s">
        <v>479</v>
      </c>
      <c r="BN314" s="109" t="s">
        <v>480</v>
      </c>
      <c r="BO314" s="133" t="s">
        <v>478</v>
      </c>
      <c r="BP314" s="93" t="s">
        <v>478</v>
      </c>
      <c r="BQ314" s="217" t="s">
        <v>479</v>
      </c>
      <c r="BR314" s="109" t="s">
        <v>475</v>
      </c>
      <c r="BS314" s="133" t="s">
        <v>478</v>
      </c>
      <c r="BT314" s="93" t="s">
        <v>478</v>
      </c>
      <c r="BU314" s="217" t="s">
        <v>479</v>
      </c>
      <c r="BV314" s="225" t="s">
        <v>421</v>
      </c>
      <c r="BW314" s="225"/>
      <c r="BX314" s="225"/>
      <c r="BY314" s="225" t="s">
        <v>13</v>
      </c>
      <c r="BZ314" s="109" t="s">
        <v>475</v>
      </c>
      <c r="CA314" s="133" t="s">
        <v>478</v>
      </c>
      <c r="CB314" s="93" t="s">
        <v>478</v>
      </c>
      <c r="CC314" s="217" t="s">
        <v>479</v>
      </c>
      <c r="CD314" s="109" t="s">
        <v>480</v>
      </c>
      <c r="CE314" s="133" t="s">
        <v>478</v>
      </c>
      <c r="CF314" s="93" t="s">
        <v>478</v>
      </c>
      <c r="CG314" s="217" t="s">
        <v>479</v>
      </c>
      <c r="CH314" s="109" t="s">
        <v>475</v>
      </c>
      <c r="CI314" s="133" t="s">
        <v>478</v>
      </c>
      <c r="CJ314" s="93" t="s">
        <v>478</v>
      </c>
      <c r="CK314" s="217" t="s">
        <v>479</v>
      </c>
      <c r="CL314" s="225" t="s">
        <v>421</v>
      </c>
      <c r="CM314" s="225"/>
      <c r="CN314" s="225"/>
      <c r="CO314" s="225" t="s">
        <v>13</v>
      </c>
      <c r="CP314" s="97"/>
      <c r="CQ314" s="134" t="s">
        <v>476</v>
      </c>
      <c r="CR314" s="202" t="s">
        <v>481</v>
      </c>
      <c r="CS314" s="134" t="s">
        <v>253</v>
      </c>
      <c r="CT314" s="134" t="s">
        <v>47</v>
      </c>
      <c r="CU314" s="109" t="s">
        <v>475</v>
      </c>
      <c r="CV314" s="133" t="s">
        <v>478</v>
      </c>
      <c r="CW314" s="93" t="s">
        <v>478</v>
      </c>
      <c r="CX314" s="217" t="s">
        <v>479</v>
      </c>
      <c r="CY314" s="109" t="s">
        <v>480</v>
      </c>
      <c r="CZ314" s="133" t="s">
        <v>478</v>
      </c>
      <c r="DA314" s="93" t="s">
        <v>478</v>
      </c>
      <c r="DB314" s="217" t="s">
        <v>479</v>
      </c>
      <c r="DC314" s="109" t="s">
        <v>475</v>
      </c>
      <c r="DD314" s="133" t="s">
        <v>478</v>
      </c>
      <c r="DE314" s="93" t="s">
        <v>478</v>
      </c>
      <c r="DF314" s="217" t="s">
        <v>479</v>
      </c>
      <c r="DG314" s="225" t="s">
        <v>421</v>
      </c>
      <c r="DH314" s="225"/>
      <c r="DI314" s="225"/>
      <c r="DJ314" s="225" t="s">
        <v>13</v>
      </c>
      <c r="DK314" s="109" t="s">
        <v>475</v>
      </c>
      <c r="DL314" s="133" t="s">
        <v>478</v>
      </c>
      <c r="DM314" s="93" t="s">
        <v>478</v>
      </c>
      <c r="DN314" s="217" t="s">
        <v>479</v>
      </c>
      <c r="DO314" s="109" t="s">
        <v>480</v>
      </c>
      <c r="DP314" s="133" t="s">
        <v>478</v>
      </c>
      <c r="DQ314" s="93" t="s">
        <v>478</v>
      </c>
      <c r="DR314" s="217" t="s">
        <v>479</v>
      </c>
      <c r="DS314" s="109" t="s">
        <v>475</v>
      </c>
      <c r="DT314" s="133" t="s">
        <v>478</v>
      </c>
      <c r="DU314" s="93" t="s">
        <v>478</v>
      </c>
      <c r="DV314" s="217" t="s">
        <v>479</v>
      </c>
      <c r="DW314" s="225" t="s">
        <v>421</v>
      </c>
      <c r="DX314" s="225"/>
      <c r="DY314" s="225"/>
      <c r="DZ314" s="225" t="s">
        <v>13</v>
      </c>
      <c r="EA314" s="97"/>
      <c r="EB314" s="134" t="s">
        <v>476</v>
      </c>
      <c r="EC314" s="202" t="s">
        <v>481</v>
      </c>
      <c r="ED314" s="134" t="s">
        <v>253</v>
      </c>
      <c r="EE314" s="134" t="s">
        <v>47</v>
      </c>
    </row>
    <row r="315" spans="1:135" ht="12" customHeight="1" x14ac:dyDescent="0.2">
      <c r="A315" s="204" t="s">
        <v>440</v>
      </c>
      <c r="B315" s="232" t="s">
        <v>47</v>
      </c>
      <c r="C315" s="233" t="s">
        <v>317</v>
      </c>
      <c r="D315" s="280" t="s">
        <v>90</v>
      </c>
      <c r="E315" s="232" t="s">
        <v>47</v>
      </c>
      <c r="F315" s="233" t="s">
        <v>317</v>
      </c>
      <c r="G315" s="280" t="s">
        <v>90</v>
      </c>
      <c r="H315" s="115" t="s">
        <v>271</v>
      </c>
      <c r="I315" s="133" t="s">
        <v>47</v>
      </c>
      <c r="J315" s="154">
        <v>0</v>
      </c>
      <c r="K315" s="134" t="s">
        <v>272</v>
      </c>
      <c r="L315" s="133" t="s">
        <v>273</v>
      </c>
      <c r="M315" s="134" t="s">
        <v>274</v>
      </c>
      <c r="N315" s="133" t="s">
        <v>273</v>
      </c>
      <c r="O315" s="134" t="s">
        <v>275</v>
      </c>
      <c r="P315" s="134" t="s">
        <v>276</v>
      </c>
      <c r="Q315" s="133" t="s">
        <v>277</v>
      </c>
      <c r="R315" s="134" t="s">
        <v>278</v>
      </c>
      <c r="S315" s="134" t="s">
        <v>279</v>
      </c>
      <c r="T315" s="134" t="s">
        <v>280</v>
      </c>
      <c r="U315" s="134" t="s">
        <v>278</v>
      </c>
      <c r="V315" s="133" t="s">
        <v>281</v>
      </c>
      <c r="W315" s="133" t="s">
        <v>282</v>
      </c>
      <c r="X315" s="133" t="s">
        <v>283</v>
      </c>
      <c r="Y315" s="133"/>
      <c r="Z315" s="133" t="s">
        <v>285</v>
      </c>
      <c r="AA315" s="133" t="s">
        <v>441</v>
      </c>
      <c r="AB315" s="1"/>
      <c r="AC315" s="229" t="s">
        <v>272</v>
      </c>
      <c r="AD315" s="229" t="s">
        <v>274</v>
      </c>
      <c r="AE315" s="225" t="s">
        <v>273</v>
      </c>
      <c r="AF315" s="229" t="s">
        <v>275</v>
      </c>
      <c r="AG315" s="229" t="s">
        <v>276</v>
      </c>
      <c r="AH315" s="217" t="s">
        <v>277</v>
      </c>
      <c r="AI315" s="229" t="s">
        <v>278</v>
      </c>
      <c r="AJ315" s="229" t="s">
        <v>279</v>
      </c>
      <c r="AK315" s="229" t="s">
        <v>280</v>
      </c>
      <c r="AL315" s="229" t="s">
        <v>278</v>
      </c>
      <c r="AM315" s="217" t="s">
        <v>281</v>
      </c>
      <c r="AN315" s="225" t="s">
        <v>282</v>
      </c>
      <c r="AO315" s="225" t="s">
        <v>271</v>
      </c>
      <c r="AP315" s="225"/>
      <c r="AQ315" s="225" t="s">
        <v>285</v>
      </c>
      <c r="AR315" s="225" t="s">
        <v>441</v>
      </c>
      <c r="AT315" s="229" t="s">
        <v>272</v>
      </c>
      <c r="AU315" s="229" t="s">
        <v>274</v>
      </c>
      <c r="AV315" s="225" t="s">
        <v>273</v>
      </c>
      <c r="AW315" s="229" t="s">
        <v>275</v>
      </c>
      <c r="AX315" s="229" t="s">
        <v>276</v>
      </c>
      <c r="AY315" s="217" t="s">
        <v>277</v>
      </c>
      <c r="AZ315" s="229" t="s">
        <v>278</v>
      </c>
      <c r="BA315" s="229" t="s">
        <v>279</v>
      </c>
      <c r="BB315" s="229" t="s">
        <v>280</v>
      </c>
      <c r="BC315" s="229" t="s">
        <v>278</v>
      </c>
      <c r="BD315" s="217" t="s">
        <v>281</v>
      </c>
      <c r="BE315" s="225" t="s">
        <v>282</v>
      </c>
      <c r="BF315" s="279" t="s">
        <v>271</v>
      </c>
      <c r="BG315" s="225"/>
      <c r="BH315" s="225" t="s">
        <v>285</v>
      </c>
      <c r="BI315" s="217" t="s">
        <v>441</v>
      </c>
      <c r="BJ315" s="109" t="s">
        <v>13</v>
      </c>
      <c r="BK315" s="133" t="s">
        <v>286</v>
      </c>
      <c r="BL315" s="93" t="s">
        <v>286</v>
      </c>
      <c r="BM315" s="217" t="s">
        <v>286</v>
      </c>
      <c r="BN315" s="109" t="s">
        <v>13</v>
      </c>
      <c r="BO315" s="133" t="s">
        <v>286</v>
      </c>
      <c r="BP315" s="93" t="s">
        <v>286</v>
      </c>
      <c r="BQ315" s="217" t="s">
        <v>286</v>
      </c>
      <c r="BR315" s="109" t="s">
        <v>13</v>
      </c>
      <c r="BS315" s="133" t="s">
        <v>286</v>
      </c>
      <c r="BT315" s="93" t="s">
        <v>286</v>
      </c>
      <c r="BU315" s="217" t="s">
        <v>286</v>
      </c>
      <c r="BV315" s="225" t="s">
        <v>287</v>
      </c>
      <c r="BW315" s="225" t="s">
        <v>90</v>
      </c>
      <c r="BX315" s="225" t="s">
        <v>13</v>
      </c>
      <c r="BY315" s="265">
        <f>B316</f>
        <v>195.95433937424951</v>
      </c>
      <c r="BZ315" s="109" t="s">
        <v>13</v>
      </c>
      <c r="CA315" s="133" t="s">
        <v>286</v>
      </c>
      <c r="CB315" s="93" t="s">
        <v>286</v>
      </c>
      <c r="CC315" s="217" t="s">
        <v>286</v>
      </c>
      <c r="CD315" s="109" t="s">
        <v>13</v>
      </c>
      <c r="CE315" s="133" t="s">
        <v>286</v>
      </c>
      <c r="CF315" s="93" t="s">
        <v>286</v>
      </c>
      <c r="CG315" s="217" t="s">
        <v>286</v>
      </c>
      <c r="CH315" s="109" t="s">
        <v>13</v>
      </c>
      <c r="CI315" s="133" t="s">
        <v>286</v>
      </c>
      <c r="CJ315" s="93" t="s">
        <v>286</v>
      </c>
      <c r="CK315" s="217" t="s">
        <v>286</v>
      </c>
      <c r="CL315" s="225" t="s">
        <v>287</v>
      </c>
      <c r="CM315" s="225" t="s">
        <v>90</v>
      </c>
      <c r="CN315" s="225" t="s">
        <v>13</v>
      </c>
      <c r="CO315" s="263">
        <f>E316</f>
        <v>195.57395772013814</v>
      </c>
      <c r="CP315" s="97" t="s">
        <v>286</v>
      </c>
      <c r="CQ315" s="134" t="s">
        <v>286</v>
      </c>
      <c r="CR315" s="202" t="s">
        <v>286</v>
      </c>
      <c r="CS315" s="134" t="s">
        <v>13</v>
      </c>
      <c r="CT315" s="143"/>
      <c r="CU315" s="109" t="s">
        <v>13</v>
      </c>
      <c r="CV315" s="133" t="s">
        <v>286</v>
      </c>
      <c r="CW315" s="93" t="s">
        <v>286</v>
      </c>
      <c r="CX315" s="217" t="s">
        <v>286</v>
      </c>
      <c r="CY315" s="109" t="s">
        <v>13</v>
      </c>
      <c r="CZ315" s="133" t="s">
        <v>286</v>
      </c>
      <c r="DA315" s="93" t="s">
        <v>286</v>
      </c>
      <c r="DB315" s="217" t="s">
        <v>286</v>
      </c>
      <c r="DC315" s="109" t="s">
        <v>13</v>
      </c>
      <c r="DD315" s="133" t="s">
        <v>286</v>
      </c>
      <c r="DE315" s="93" t="s">
        <v>286</v>
      </c>
      <c r="DF315" s="217" t="s">
        <v>286</v>
      </c>
      <c r="DG315" s="225" t="s">
        <v>287</v>
      </c>
      <c r="DH315" s="225" t="s">
        <v>90</v>
      </c>
      <c r="DI315" s="225" t="s">
        <v>13</v>
      </c>
      <c r="DJ315" s="265">
        <f>B316</f>
        <v>195.95433937424951</v>
      </c>
      <c r="DK315" s="109" t="s">
        <v>13</v>
      </c>
      <c r="DL315" s="133" t="s">
        <v>286</v>
      </c>
      <c r="DM315" s="93" t="s">
        <v>286</v>
      </c>
      <c r="DN315" s="217" t="s">
        <v>286</v>
      </c>
      <c r="DO315" s="109" t="s">
        <v>13</v>
      </c>
      <c r="DP315" s="133" t="s">
        <v>286</v>
      </c>
      <c r="DQ315" s="93" t="s">
        <v>286</v>
      </c>
      <c r="DR315" s="217" t="s">
        <v>286</v>
      </c>
      <c r="DS315" s="109" t="s">
        <v>13</v>
      </c>
      <c r="DT315" s="133" t="s">
        <v>286</v>
      </c>
      <c r="DU315" s="93" t="s">
        <v>286</v>
      </c>
      <c r="DV315" s="217" t="s">
        <v>286</v>
      </c>
      <c r="DW315" s="225" t="s">
        <v>287</v>
      </c>
      <c r="DX315" s="225" t="s">
        <v>90</v>
      </c>
      <c r="DY315" s="225" t="s">
        <v>13</v>
      </c>
      <c r="DZ315" s="265">
        <f>E316</f>
        <v>195.57395772013814</v>
      </c>
      <c r="EA315" s="131" t="s">
        <v>286</v>
      </c>
      <c r="EB315" s="134" t="s">
        <v>286</v>
      </c>
      <c r="EC315" s="202" t="s">
        <v>286</v>
      </c>
      <c r="ED315" s="134" t="s">
        <v>13</v>
      </c>
      <c r="EE315" s="143">
        <f>I316</f>
        <v>1034.2609350901587</v>
      </c>
    </row>
    <row r="316" spans="1:135" ht="12" customHeight="1" x14ac:dyDescent="0.2">
      <c r="A316" s="200" t="s">
        <v>482</v>
      </c>
      <c r="B316" s="236">
        <f>B308</f>
        <v>195.95433937424951</v>
      </c>
      <c r="C316" s="237">
        <f>C308</f>
        <v>4.9793622037106697</v>
      </c>
      <c r="D316" s="281">
        <f>D308</f>
        <v>2848.2852853038899</v>
      </c>
      <c r="E316" s="236">
        <f>B297</f>
        <v>195.57395772013814</v>
      </c>
      <c r="F316" s="237">
        <f>C297</f>
        <v>4.9876863222816166</v>
      </c>
      <c r="G316" s="238">
        <f>D297</f>
        <v>2847.4494093161429</v>
      </c>
      <c r="H316" s="118">
        <v>0.5</v>
      </c>
      <c r="I316" s="239">
        <f>B230</f>
        <v>1034.2609350901587</v>
      </c>
      <c r="J316" s="154">
        <v>0</v>
      </c>
      <c r="K316" s="149">
        <f t="shared" ref="K316:K342" si="183">IF((J316-J315)=0,H316,S316*(J316-J315)/H$246*1000)</f>
        <v>0.5</v>
      </c>
      <c r="L316" s="240">
        <f t="shared" ref="L316:L342" si="184">I316</f>
        <v>1034.2609350901587</v>
      </c>
      <c r="M316" s="154">
        <f t="shared" ref="M316:M342" si="185">20.583*L316^-0.619</f>
        <v>0.28018999852868637</v>
      </c>
      <c r="N316" s="241">
        <f t="shared" ref="N316:N342" si="186">L316</f>
        <v>1034.2609350901587</v>
      </c>
      <c r="O316" s="150">
        <f t="shared" ref="O316:O342" si="187">$B$231/M316*1000</f>
        <v>1.3766580517582718</v>
      </c>
      <c r="P316" s="150">
        <f t="shared" ref="P316:P342" si="188">O316/1000/(H$245/1000000)</f>
        <v>7.6180458896682088</v>
      </c>
      <c r="Q316" s="152">
        <f t="shared" ref="Q316:Q342" si="189">-0.0000000000088144*I316^2+0.000000038157*I316+0.000018526</f>
        <v>4.8561568882105084E-5</v>
      </c>
      <c r="R316" s="152">
        <f>M316*P316*$H$246/1000/Q316</f>
        <v>333.47100185519349</v>
      </c>
      <c r="S316" s="153">
        <f t="shared" ref="S316:S342" si="190">MAX(64/R316,(0.25/(LOG(B$254/3.7/H$246+5.74/R316^0.9))^2))</f>
        <v>0.19192073566801882</v>
      </c>
      <c r="T316" s="154">
        <f t="shared" ref="T316:T342" si="191">$K316*M316*(P316^2)/2</f>
        <v>4.0651802456504775</v>
      </c>
      <c r="U316" s="155">
        <f t="shared" ref="U316:U342" si="192">-0.00000000012044*I316^3+0.00000024927*I316^2-0.00010926*I316+0.69512</f>
        <v>0.71551156654587789</v>
      </c>
      <c r="V316" s="154">
        <f t="shared" ref="V316:V342" si="193">0.000050069*I316+0.030201</f>
        <v>8.1985410759029154E-2</v>
      </c>
      <c r="W316" s="154">
        <v>0</v>
      </c>
      <c r="X316" s="154">
        <v>1</v>
      </c>
      <c r="Y316" s="154">
        <f t="shared" ref="Y316:Y342" si="194">IF((J316-J315)=0,0,(IF(R316&lt;2500,MAX(1.86*R316^0.33333*U316^0.33333*X316,3.66)*B$235,0.023*R316^0.8*U316^0.33*X316)))</f>
        <v>0</v>
      </c>
      <c r="Z316" s="154">
        <f t="shared" ref="Z316:Z342" si="195">Y316*V316/H$246*1000</f>
        <v>0</v>
      </c>
      <c r="AA316" s="154">
        <f t="shared" ref="AA316:AA342" si="196">Z316*1*$B$237/1000*PI()</f>
        <v>0</v>
      </c>
      <c r="AB316" s="1"/>
      <c r="AC316" s="242">
        <f t="shared" ref="AC316:AC342" si="197">AJ316*(J316-J315)/B$253*1000</f>
        <v>0</v>
      </c>
      <c r="AD316" s="263">
        <f t="shared" ref="AD316:AD342" si="198">IF(D316&lt;(2677.2*C316^0.0161),1/(1.7023*C316^-0.9421),1/((0.004625-(1451200*(B316+273)^-4.0097)*C316)*(B316+273)/C316))</f>
        <v>2.3678488853569037</v>
      </c>
      <c r="AE316" s="282">
        <f t="shared" ref="AE316:AE342" si="199">B316</f>
        <v>195.95433937424951</v>
      </c>
      <c r="AF316" s="243">
        <f t="shared" ref="AF316:AF342" si="200">$B$251/AD316*1000</f>
        <v>0.31593803718230751</v>
      </c>
      <c r="AG316" s="243">
        <f t="shared" ref="AG316:AG342" si="201">AF316/1000/(($B$253/1000)^2/4*PI())</f>
        <v>19.679071174551559</v>
      </c>
      <c r="AH316" s="264">
        <f t="shared" ref="AH316:AH342" si="202">0.00000000000025781*B316^2+0.000000041392*B316+0.0000078303</f>
        <v>1.5951141430344199E-5</v>
      </c>
      <c r="AI316" s="264">
        <f t="shared" ref="AI316:AI342" si="203">AD316*AG316*$B$253/1000/AH316</f>
        <v>13207.497349943809</v>
      </c>
      <c r="AJ316" s="245">
        <f t="shared" ref="AJ316:AJ342" si="204">MAX(64/AI316,(0.25/(LOG(B$255/3.7/B$253+5.74/AI316^0.9))^2))</f>
        <v>4.3913185952847586E-2</v>
      </c>
      <c r="AK316" s="264">
        <f t="shared" ref="AK316:AK342" si="205">AC316*AD316*(AG316^2)/2</f>
        <v>0</v>
      </c>
      <c r="AL316" s="246">
        <f t="shared" ref="AL316:AL342" si="206">(0.00000055085*C316-0.0000000015237)*B316^2+(-0.00038915*C316-0.000099678)*B316+(0.068918*C316+0.96415)</f>
        <v>1.0133438860761803</v>
      </c>
      <c r="AM316" s="263">
        <f t="shared" ref="AM316:AM342" si="207">(0.000000006099*C316+0.000000058342)*B316^2+(-0.000005447*C316+0.000072538)*B316+(0.001278*C316+0.01614)</f>
        <v>3.4809311479773362E-2</v>
      </c>
      <c r="AN316" s="263">
        <v>0</v>
      </c>
      <c r="AO316" s="263">
        <v>1</v>
      </c>
      <c r="AP316" s="235">
        <f t="shared" ref="AP316:AP342" si="208">IF((J316-J315)=0,0,(IF(AI316&lt;2500,MAX(1.86*AI316^0.33333*AL316^0.33333*AO316,3.66)*B$235,0.023*AI316^0.8*AL316^0.4*AO316)))</f>
        <v>0</v>
      </c>
      <c r="AQ316" s="235">
        <f t="shared" ref="AQ316:AQ342" si="209">AP316*AM316/$B$253*1000</f>
        <v>0</v>
      </c>
      <c r="AR316" s="263">
        <f t="shared" ref="AR316:AR342" si="210">AQ316*1*$B$253/1000*PI()</f>
        <v>0</v>
      </c>
      <c r="AT316" s="242">
        <f t="shared" ref="AT316:AT342" si="211">BA316*(J316-J315)/B$253*1000</f>
        <v>0</v>
      </c>
      <c r="AU316" s="263">
        <f t="shared" ref="AU316:AU342" si="212">IF(G316&lt;(2677.2*E316^0.0161),1/(1.7023*F316^-0.9421),1/((0.004625-(1451200*(E316+273)^-4.0097)*F316)*(E316+273)/F316))</f>
        <v>2.6696521276691496</v>
      </c>
      <c r="AV316" s="282">
        <f t="shared" ref="AV316:AV342" si="213">E316</f>
        <v>195.57395772013814</v>
      </c>
      <c r="AW316" s="243">
        <f t="shared" ref="AW316:AW342" si="214">$B$251/AU316*1000</f>
        <v>0.28022135222431732</v>
      </c>
      <c r="AX316" s="243">
        <f t="shared" ref="AX316:AX342" si="215">AW316/1000/(($B$253/1000)^2/4*PI())</f>
        <v>17.454359038982574</v>
      </c>
      <c r="AY316" s="264">
        <f t="shared" ref="AY316:AY342" si="216">0.00000000000025781*E316^2+0.000000041392*E316+0.0000078303</f>
        <v>1.5935358277227184E-5</v>
      </c>
      <c r="AZ316" s="264">
        <f t="shared" ref="AZ316:AZ342" si="217">AU316*AX316*$B$253/1000/AY316</f>
        <v>13220.578697055071</v>
      </c>
      <c r="BA316" s="245">
        <f t="shared" ref="BA316:BA342" si="218">MAX(64/AZ316,(0.25/(LOG(B$255/3.7/B$253+5.74/AZ316^0.9))^2))</f>
        <v>4.3909298979133114E-2</v>
      </c>
      <c r="BB316" s="264">
        <f t="shared" ref="BB316:BB342" si="219">$AT316*AU316*(AX316^2)/2</f>
        <v>0</v>
      </c>
      <c r="BC316" s="246">
        <f t="shared" ref="BC316:BC342" si="220">(0.00000055085*F316-0.0000000015237)*E316^2+(-0.00038915*F316-0.000099678)*E316+(0.068918*F316+0.96415)</f>
        <v>1.0138261418623307</v>
      </c>
      <c r="BD316" s="263">
        <f t="shared" ref="BD316:BD342" si="221">(0.000000006099*F316+0.000000058342)*E316^2+(-0.000005447*F316+0.000072538)*E316+(0.001278*F316+0.01614)</f>
        <v>3.4782537001382285E-2</v>
      </c>
      <c r="BE316" s="263">
        <v>0</v>
      </c>
      <c r="BF316" s="263">
        <v>0</v>
      </c>
      <c r="BG316" s="235">
        <f t="shared" ref="BG316:BG342" si="222">IF((J316-J315)=0,0,(IF(AZ316&lt;2500,1.86*AZ316^0.33333*BC316^0.33333*BF316*B$235,0.023*AZ316^0.8*BC316^0.4)*BF316))</f>
        <v>0</v>
      </c>
      <c r="BH316" s="235">
        <f t="shared" ref="BH316:BH342" si="223">BG316*BD316/$B$253*1000</f>
        <v>0</v>
      </c>
      <c r="BI316" s="263">
        <f t="shared" ref="BI316:BI342" si="224">BH316*1*$B$253/1000*PI()</f>
        <v>0</v>
      </c>
      <c r="BJ316" s="247"/>
      <c r="BK316" s="248"/>
      <c r="BL316" s="94"/>
      <c r="BM316" s="249"/>
      <c r="BN316" s="247"/>
      <c r="BO316" s="248"/>
      <c r="BP316" s="94"/>
      <c r="BQ316" s="249"/>
      <c r="BR316" s="247"/>
      <c r="BS316" s="248"/>
      <c r="BT316" s="94"/>
      <c r="BU316" s="249"/>
      <c r="BV316" s="283">
        <v>0</v>
      </c>
      <c r="BW316" s="282">
        <f>D316</f>
        <v>2848.2852853038899</v>
      </c>
      <c r="BX316" s="265">
        <f t="shared" ref="BX316:BX342" si="225">IF(BW316&lt;(2677.2*C316^0.0161),100.55*C316^0.2536,(BW316+9.0877*C316-2486.6)/(0.0199*C316+1.9776))</f>
        <v>195.9543171256081</v>
      </c>
      <c r="BY316" s="265">
        <f t="shared" ref="BY316:BY342" si="226">(BY315+BX316)/2</f>
        <v>195.95432824992881</v>
      </c>
      <c r="BZ316" s="284"/>
      <c r="CA316" s="248"/>
      <c r="CB316" s="94"/>
      <c r="CC316" s="249"/>
      <c r="CD316" s="247"/>
      <c r="CE316" s="248"/>
      <c r="CF316" s="94"/>
      <c r="CG316" s="249"/>
      <c r="CH316" s="247"/>
      <c r="CI316" s="248"/>
      <c r="CJ316" s="94"/>
      <c r="CK316" s="249"/>
      <c r="CL316" s="249">
        <v>0</v>
      </c>
      <c r="CM316" s="249">
        <f>G316</f>
        <v>2847.4494093161429</v>
      </c>
      <c r="CN316" s="265">
        <f t="shared" ref="CN316:CN342" si="227">IF(CM316&lt;(2677.2*F316^0.0161),100.55*F316^0.2536,(CM316+9.0877*F316-2486.6)/(0.0199*F316+1.9776))</f>
        <v>195.57263966800062</v>
      </c>
      <c r="CO316" s="265">
        <f t="shared" ref="CO316:CO342" si="228">(CO315+CN316)/2</f>
        <v>195.57329869406936</v>
      </c>
      <c r="CP316" s="97"/>
      <c r="CQ316" s="157">
        <f t="shared" ref="CQ316:CQ342" si="229">Z316*(L316-B$247)*(J316-J315)*PI()*$B$236/1000</f>
        <v>0</v>
      </c>
      <c r="CR316" s="285">
        <f t="shared" ref="CR316:CR342" si="230">CQ316+CP316+CK316+BV316</f>
        <v>0</v>
      </c>
      <c r="CS316" s="157">
        <f t="shared" ref="CS316:CS342" si="231">CR316/1000/$B$232/B$231</f>
        <v>0</v>
      </c>
      <c r="CT316" s="143">
        <f t="shared" ref="CT316:CT342" si="232">I316-CS316/2</f>
        <v>1034.2609350901587</v>
      </c>
      <c r="CU316" s="247"/>
      <c r="CV316" s="248"/>
      <c r="CW316" s="94"/>
      <c r="CX316" s="249"/>
      <c r="CY316" s="247"/>
      <c r="CZ316" s="248"/>
      <c r="DA316" s="94"/>
      <c r="DB316" s="249"/>
      <c r="DC316" s="247"/>
      <c r="DD316" s="248"/>
      <c r="DE316" s="94"/>
      <c r="DF316" s="249"/>
      <c r="DG316" s="283">
        <v>0</v>
      </c>
      <c r="DH316" s="282">
        <f>D316</f>
        <v>2848.2852853038899</v>
      </c>
      <c r="DI316" s="265">
        <f t="shared" ref="DI316:DI342" si="233">IF(DH316&lt;(2677.2*C316^0.0161),100.55*C316^0.2536,(DH316+9.0877*C316-2486.6)/(0.0199*C316+1.9776))</f>
        <v>195.9543171256081</v>
      </c>
      <c r="DJ316" s="265">
        <f t="shared" ref="DJ316:DJ342" si="234">(DJ315+DI316)/2</f>
        <v>195.95432824992881</v>
      </c>
      <c r="DK316" s="284"/>
      <c r="DL316" s="248"/>
      <c r="DM316" s="94"/>
      <c r="DN316" s="249"/>
      <c r="DO316" s="247"/>
      <c r="DP316" s="248"/>
      <c r="DQ316" s="94"/>
      <c r="DR316" s="249"/>
      <c r="DS316" s="247"/>
      <c r="DT316" s="248"/>
      <c r="DU316" s="94"/>
      <c r="DV316" s="249"/>
      <c r="DW316" s="249">
        <v>0</v>
      </c>
      <c r="DX316" s="249">
        <f>G316</f>
        <v>2847.4494093161429</v>
      </c>
      <c r="DY316" s="265">
        <f t="shared" ref="DY316:DY342" si="235">IF(DX316&lt;(2677.2*F316^0.0161),100.55*F316^0.2536,(DX316+9.0877*F316-2486.6)/(0.0199*F316+1.9776))</f>
        <v>195.57263966800062</v>
      </c>
      <c r="DZ316" s="265">
        <f t="shared" ref="DZ316:DZ342" si="236">(DZ315+DY316)/2</f>
        <v>195.57329869406936</v>
      </c>
      <c r="EA316" s="94">
        <v>0</v>
      </c>
      <c r="EB316" s="157">
        <f t="shared" ref="EB316:EB342" si="237">Z316*(CT316-B$247)*(J316-J315)*PI()*$B$236/1000</f>
        <v>0</v>
      </c>
      <c r="EC316" s="138">
        <v>0</v>
      </c>
      <c r="ED316" s="157">
        <v>0</v>
      </c>
      <c r="EE316" s="143">
        <f t="shared" ref="EE316:EE342" si="238">I316-ED316/2</f>
        <v>1034.2609350901587</v>
      </c>
    </row>
    <row r="317" spans="1:135" ht="12" customHeight="1" x14ac:dyDescent="0.2">
      <c r="A317" s="200" t="s">
        <v>442</v>
      </c>
      <c r="B317" s="236">
        <f t="shared" ref="B317:B343" si="239">BX316</f>
        <v>195.9543171256081</v>
      </c>
      <c r="C317" s="237">
        <f t="shared" ref="C317:C343" si="240">C316-AK316/100000</f>
        <v>4.9793622037106697</v>
      </c>
      <c r="D317" s="236">
        <f t="shared" ref="D317:D343" si="241">BW316</f>
        <v>2848.2852853038899</v>
      </c>
      <c r="E317" s="236">
        <f t="shared" ref="E317:E343" si="242">CN316</f>
        <v>195.57263966800062</v>
      </c>
      <c r="F317" s="237">
        <f t="shared" ref="F317:F343" si="243">F316+BB316/100000</f>
        <v>4.9876863222816166</v>
      </c>
      <c r="G317" s="238">
        <f t="shared" ref="G317:G343" si="244">DX316</f>
        <v>2847.4494093161429</v>
      </c>
      <c r="H317" s="118">
        <v>0</v>
      </c>
      <c r="I317" s="239">
        <f t="shared" ref="I317:I343" si="245">I316-ED316</f>
        <v>1034.2609350901587</v>
      </c>
      <c r="J317" s="154">
        <f>J472+B$252/25</f>
        <v>1.2129032258064519E-2</v>
      </c>
      <c r="K317" s="149">
        <f t="shared" si="183"/>
        <v>0.30682693432046909</v>
      </c>
      <c r="L317" s="240">
        <f t="shared" si="184"/>
        <v>1034.2609350901587</v>
      </c>
      <c r="M317" s="154">
        <f t="shared" si="185"/>
        <v>0.28018999852868637</v>
      </c>
      <c r="N317" s="241">
        <f t="shared" si="186"/>
        <v>1034.2609350901587</v>
      </c>
      <c r="O317" s="150">
        <f t="shared" si="187"/>
        <v>1.3766580517582718</v>
      </c>
      <c r="P317" s="150">
        <f t="shared" si="188"/>
        <v>7.6180458896682088</v>
      </c>
      <c r="Q317" s="152">
        <f t="shared" si="189"/>
        <v>4.8561568882105084E-5</v>
      </c>
      <c r="R317" s="152">
        <f t="shared" ref="R317:R342" si="246">M317*P317*H$246/1000/Q317</f>
        <v>333.47100185519349</v>
      </c>
      <c r="S317" s="153">
        <f t="shared" si="190"/>
        <v>0.19192073566801882</v>
      </c>
      <c r="T317" s="154">
        <f t="shared" si="191"/>
        <v>2.4946135844661348</v>
      </c>
      <c r="U317" s="155">
        <f t="shared" si="192"/>
        <v>0.71551156654587789</v>
      </c>
      <c r="V317" s="154">
        <f t="shared" si="193"/>
        <v>8.1985410759029154E-2</v>
      </c>
      <c r="W317" s="154">
        <f t="shared" ref="W317:W341" si="247">IF(R317&lt;2500,(H$246/1000/$J317)^0.333333,(1+(H$246/1000/J317)^0.7))</f>
        <v>0.85521676834597427</v>
      </c>
      <c r="X317" s="154">
        <f t="shared" ref="X317:X341" si="248">(W317*J317-W316*J316)/(J317-J316)</f>
        <v>0.85521676834597427</v>
      </c>
      <c r="Y317" s="154">
        <f t="shared" si="194"/>
        <v>15.785540367855019</v>
      </c>
      <c r="Z317" s="154">
        <f t="shared" si="195"/>
        <v>170.58524363087398</v>
      </c>
      <c r="AA317" s="154">
        <f t="shared" si="196"/>
        <v>3.4030243610800239</v>
      </c>
      <c r="AB317" s="1"/>
      <c r="AC317" s="242">
        <f t="shared" si="197"/>
        <v>0.1178059909358615</v>
      </c>
      <c r="AD317" s="263">
        <f t="shared" si="198"/>
        <v>2.3678490118339619</v>
      </c>
      <c r="AE317" s="282">
        <f t="shared" si="199"/>
        <v>195.9543171256081</v>
      </c>
      <c r="AF317" s="243">
        <f t="shared" si="200"/>
        <v>0.31593802030669033</v>
      </c>
      <c r="AG317" s="243">
        <f t="shared" si="201"/>
        <v>19.679070123407243</v>
      </c>
      <c r="AH317" s="264">
        <f t="shared" si="202"/>
        <v>1.5951140507180476E-5</v>
      </c>
      <c r="AI317" s="264">
        <f t="shared" si="203"/>
        <v>13207.498114320651</v>
      </c>
      <c r="AJ317" s="245">
        <f t="shared" si="204"/>
        <v>4.391318572552054E-2</v>
      </c>
      <c r="AK317" s="264">
        <f t="shared" si="205"/>
        <v>54.013277808362375</v>
      </c>
      <c r="AL317" s="246">
        <f t="shared" si="206"/>
        <v>1.013343907502398</v>
      </c>
      <c r="AM317" s="263">
        <f t="shared" si="207"/>
        <v>3.4809309695831153E-2</v>
      </c>
      <c r="AN317" s="263">
        <f t="shared" ref="AN317:AN342" si="249">IF(AI316&lt;2500,(B$253/1000/(J317+I$463))^0.333333,(1+(B$253/1000/(J317+I$463))^0.7))</f>
        <v>1.4741488510014227</v>
      </c>
      <c r="AO317" s="263">
        <f t="shared" ref="AO317:AO341" si="250">(AN317*J317-AN316*J316)/(J317-J316)</f>
        <v>1.4741488510014229</v>
      </c>
      <c r="AP317" s="235">
        <f t="shared" si="208"/>
        <v>67.488280711573509</v>
      </c>
      <c r="AQ317" s="235">
        <f t="shared" si="209"/>
        <v>519.60109354338454</v>
      </c>
      <c r="AR317" s="263">
        <f t="shared" si="210"/>
        <v>7.3802937517684279</v>
      </c>
      <c r="AT317" s="242">
        <f t="shared" si="211"/>
        <v>0.11779552781744355</v>
      </c>
      <c r="AU317" s="263">
        <f t="shared" si="212"/>
        <v>2.6696521276691496</v>
      </c>
      <c r="AV317" s="282">
        <f t="shared" si="213"/>
        <v>195.57263966800062</v>
      </c>
      <c r="AW317" s="243">
        <f t="shared" si="214"/>
        <v>0.28022135222431732</v>
      </c>
      <c r="AX317" s="243">
        <f t="shared" si="215"/>
        <v>17.454359038982574</v>
      </c>
      <c r="AY317" s="264">
        <f t="shared" si="216"/>
        <v>1.593530358749875E-5</v>
      </c>
      <c r="AZ317" s="264">
        <f t="shared" si="217"/>
        <v>13220.624069887455</v>
      </c>
      <c r="BA317" s="245">
        <f t="shared" si="218"/>
        <v>4.3909285509082428E-2</v>
      </c>
      <c r="BB317" s="264">
        <f t="shared" si="219"/>
        <v>47.902843199850786</v>
      </c>
      <c r="BC317" s="246">
        <f t="shared" si="220"/>
        <v>1.0138274158516554</v>
      </c>
      <c r="BD317" s="263">
        <f t="shared" si="221"/>
        <v>3.4782431439921345E-2</v>
      </c>
      <c r="BE317" s="263">
        <f t="shared" ref="BE317:BE341" si="251">IF(AZ316&lt;2500,(B$253/1000/(B$252-J316))^0.333333,1+(B$253/1000/(B$252-J316))^0.7)</f>
        <v>1.0526552029981915</v>
      </c>
      <c r="BF317" s="263">
        <f t="shared" ref="BF317:BF341" si="252">(BE317*(B$252-J316)-BE318*(B$252-J317))/(J317-J316)</f>
        <v>1.0160228650082779</v>
      </c>
      <c r="BG317" s="235">
        <f t="shared" si="222"/>
        <v>46.560592159817276</v>
      </c>
      <c r="BH317" s="235">
        <f t="shared" si="223"/>
        <v>358.19928439374144</v>
      </c>
      <c r="BI317" s="263">
        <f t="shared" si="224"/>
        <v>5.0877797859721428</v>
      </c>
      <c r="BJ317" s="247">
        <f>(B316+I316)/2</f>
        <v>615.10763723220407</v>
      </c>
      <c r="BK317" s="248">
        <f t="shared" ref="BK317:BK341" si="253">($I317-BJ317)*$AA317*($J317-$J316)</f>
        <v>17.300716782185706</v>
      </c>
      <c r="BL317" s="94">
        <f t="shared" ref="BL317:BL341" si="254">0.000000056703*$H$247*(($I317+273)^4-(BJ317+273)^4)*($B$237/1000*PI())*($J317-$J316)</f>
        <v>0.21457828241934887</v>
      </c>
      <c r="BM317" s="249">
        <f t="shared" ref="BM317:BM341" si="255">$AR317*($J317-$J316)*(BJ317-$B317)</f>
        <v>37.520853569687233</v>
      </c>
      <c r="BN317" s="247">
        <f t="shared" ref="BN317:BN341" si="256">BJ317+1</f>
        <v>616.10763723220407</v>
      </c>
      <c r="BO317" s="248">
        <f t="shared" ref="BO317:BO341" si="257">($I317-BN317)*$AA317*($J317-$J316)</f>
        <v>17.259441389935187</v>
      </c>
      <c r="BP317" s="94">
        <f t="shared" ref="BP317:BP341" si="258">0.000000056703*$H$247*(($I317+273)^4-(BN317+273)^4)*($B$237/1000*PI())*($J317-$J316)</f>
        <v>0.21431624623379364</v>
      </c>
      <c r="BQ317" s="249">
        <f t="shared" ref="BQ317:BQ341" si="259">$AR317*($J317-$J316)*(BN317-$B317)</f>
        <v>37.610369390676425</v>
      </c>
      <c r="BR317" s="247">
        <f t="shared" ref="BR317:BR341" si="260">BJ317+(BK317+BL317-BM317)/(BK317+BL317-BM317-(BO317+BP317-BQ317))</f>
        <v>462.45550084629758</v>
      </c>
      <c r="BS317" s="248">
        <f t="shared" ref="BS317:BS341" si="261">($I317-BR317)*$AA317*($J317-$J316)</f>
        <v>23.601493589393723</v>
      </c>
      <c r="BT317" s="94">
        <f t="shared" ref="BT317:BT341" si="262">0.000000056703*$H$247*(($I317+273)^4-(BR317+273)^4)*($B$237/1000*PI())*($J317-$J316)</f>
        <v>0.24534448389931685</v>
      </c>
      <c r="BU317" s="249">
        <f t="shared" ref="BU317:BU342" si="263">$AR317*($J317-$J316)*(BR317-$B317)</f>
        <v>23.856072255348817</v>
      </c>
      <c r="BV317" s="283">
        <f t="shared" ref="BV317:BV342" si="264">(BU317+BT317+BS317)/2</f>
        <v>23.851455164320928</v>
      </c>
      <c r="BW317" s="282">
        <f t="shared" ref="BW317:BW342" si="265">D317+BV317/1000/$B$251</f>
        <v>2880.1682708315661</v>
      </c>
      <c r="BX317" s="265">
        <f t="shared" si="225"/>
        <v>211.30711227271934</v>
      </c>
      <c r="BY317" s="265">
        <f t="shared" si="226"/>
        <v>203.63072026132409</v>
      </c>
      <c r="BZ317" s="284">
        <f>(E316+I316)/2</f>
        <v>614.91744640514844</v>
      </c>
      <c r="CA317" s="248">
        <f t="shared" ref="CA317:CA341" si="266">($I317-BZ317)*$AA317*($J317-$J316)</f>
        <v>17.308566983174877</v>
      </c>
      <c r="CB317" s="94">
        <f t="shared" ref="CB317:CB341" si="267">0.000000056703*$H$247*(($I317+273)^4-(BZ317+273)^4)*($B$237/1000*PI())*($J317-$J316)</f>
        <v>0.21462801922364894</v>
      </c>
      <c r="CC317" s="249">
        <f t="shared" ref="CC317:CC341" si="268">$BI317*($J317-$J316)*(BZ317-$E317)</f>
        <v>25.877703086522278</v>
      </c>
      <c r="CD317" s="247">
        <f t="shared" ref="CD317:CD341" si="269">BZ317+1</f>
        <v>615.91744640514844</v>
      </c>
      <c r="CE317" s="248">
        <f t="shared" ref="CE317:CE341" si="270">($I317-CD317)*$AA317*($J317-$J316)</f>
        <v>17.267291590924359</v>
      </c>
      <c r="CF317" s="94">
        <f t="shared" ref="CF317:CF341" si="271">0.000000056703*$H$247*(($I317+273)^4-(CD317+273)^4)*($B$237/1000*PI())*($J317-$J316)</f>
        <v>0.21436615125475189</v>
      </c>
      <c r="CG317" s="249">
        <f t="shared" ref="CG317:CG341" si="272">$BI317*($J317-$J316)*(CD317-$E317)</f>
        <v>25.939412931668265</v>
      </c>
      <c r="CH317" s="247">
        <f t="shared" ref="CH317:CH341" si="273">BZ317+(CA317+CB317-CC317)/(CA317+CB317-CC317-(CE317+CF317-CG317))</f>
        <v>533.99984532997973</v>
      </c>
      <c r="CI317" s="248">
        <f t="shared" ref="CI317:CI341" si="274">($I317-CH317)*$AA317*($J317-$J316)</f>
        <v>20.648472707523485</v>
      </c>
      <c r="CJ317" s="94">
        <f t="shared" ref="CJ317:CJ341" si="275">0.000000056703*$H$247*(($I317+273)^4-(CH317+273)^4)*($B$237/1000*PI())*($J317-$J316)</f>
        <v>0.23306196402048257</v>
      </c>
      <c r="CK317" s="249">
        <f t="shared" ref="CK317:CK342" si="276">$BI317*($J317-$J316)*(CH317-$E317)</f>
        <v>20.884290454589053</v>
      </c>
      <c r="CL317" s="249">
        <f t="shared" ref="CL317:CL342" si="277">(CI317+CJ317+CK317)/2</f>
        <v>20.882912563066512</v>
      </c>
      <c r="CM317" s="249">
        <f t="shared" ref="CM317:CM342" si="278">CM316-CL317/1000/B$251</f>
        <v>2819.5345674569362</v>
      </c>
      <c r="CN317" s="265">
        <f t="shared" si="227"/>
        <v>182.13171941779856</v>
      </c>
      <c r="CO317" s="265">
        <f t="shared" si="228"/>
        <v>188.85250905593398</v>
      </c>
      <c r="CP317" s="94">
        <f t="shared" ref="CP317:CP341" si="279">0.000000056703*$H$247*(($I317+273)^4-(B$247+273)^4)*($B$236/1000*PI())*($J317-$J316)</f>
        <v>0.74770686787179441</v>
      </c>
      <c r="CQ317" s="157">
        <f t="shared" si="229"/>
        <v>100.05851873513384</v>
      </c>
      <c r="CR317" s="285">
        <f t="shared" si="230"/>
        <v>145.54197122191562</v>
      </c>
      <c r="CS317" s="157">
        <f t="shared" si="231"/>
        <v>339.92770783058626</v>
      </c>
      <c r="CT317" s="143">
        <f t="shared" si="232"/>
        <v>864.29708117486553</v>
      </c>
      <c r="CU317" s="247">
        <f t="shared" ref="CU317:CU341" si="280">BR317</f>
        <v>462.45550084629758</v>
      </c>
      <c r="CV317" s="248">
        <f t="shared" ref="CV317:CV341" si="281">($CT317-CU317)*$AA317*($J317-$J316)</f>
        <v>16.586168850630088</v>
      </c>
      <c r="CW317" s="94">
        <f t="shared" ref="CW317:CW341" si="282">0.000000056703*$H$247*(($CT317+273)^4-(CU317+273)^4)*($B$237/1000*PI())*($J317-$J316)</f>
        <v>0.1288801396672723</v>
      </c>
      <c r="CX317" s="249">
        <f t="shared" ref="CX317:CX341" si="283">$AR317*($J317-$J316)*(CU317-$BY317)</f>
        <v>23.168912726411197</v>
      </c>
      <c r="CY317" s="247">
        <f t="shared" ref="CY317:CY341" si="284">CU317+1</f>
        <v>463.45550084629758</v>
      </c>
      <c r="CZ317" s="248">
        <f t="shared" ref="CZ317:CZ341" si="285">($CT317-CY317)*$AA317*($J317-$J316)</f>
        <v>16.544893458379565</v>
      </c>
      <c r="DA317" s="94">
        <f t="shared" ref="DA317:DA341" si="286">0.000000056703*$H$247*(($CT317+273)^4-(CY317+273)^4)*($B$237/1000*PI())*($J317-$J316)</f>
        <v>0.12873127697319281</v>
      </c>
      <c r="DB317" s="249">
        <f t="shared" ref="DB317:DB341" si="287">$AR317*($J317-$J316)*(CY317-$BY317)</f>
        <v>23.258428547400388</v>
      </c>
      <c r="DC317" s="247">
        <f t="shared" ref="DC317:DC341" si="288">CU317+(CV317+CW317-CX317)/(CV317+CW317-CX317-(CZ317+DA317-DB317))</f>
        <v>413.16681905740893</v>
      </c>
      <c r="DD317" s="248">
        <f t="shared" ref="DD317:DD341" si="289">($CT317-DC317)*$AA317*($J317-$J316)</f>
        <v>18.620578524977478</v>
      </c>
      <c r="DE317" s="94">
        <f t="shared" ref="DE317:DE341" si="290">0.000000056703*$H$247*(($CT317+273)^4-(DC317+273)^4)*($B$237/1000*PI())*($J317-$J316)</f>
        <v>0.13549868667116685</v>
      </c>
      <c r="DF317" s="249">
        <f t="shared" ref="DF317:DF341" si="291">$AR317*($J317-$J316)*(DC317-$BY317)</f>
        <v>18.756795910603831</v>
      </c>
      <c r="DG317" s="283">
        <f t="shared" ref="DG317:DG341" si="292">(DF317+DE317+DD317)/2</f>
        <v>18.756436561126236</v>
      </c>
      <c r="DH317" s="282">
        <f t="shared" ref="DH317:DH342" si="293">DH316+DG317/1000/$B$251</f>
        <v>2873.3576002343316</v>
      </c>
      <c r="DI317" s="265">
        <f t="shared" si="233"/>
        <v>208.02753136888492</v>
      </c>
      <c r="DJ317" s="265">
        <f t="shared" si="234"/>
        <v>201.99092980940685</v>
      </c>
      <c r="DK317" s="284">
        <f t="shared" ref="DK317:DK341" si="294">CH317</f>
        <v>533.99984532997973</v>
      </c>
      <c r="DL317" s="248">
        <f t="shared" ref="DL317:DL341" si="295">($I317-DK317)*$AA317*($J317-$J316)</f>
        <v>20.648472707523485</v>
      </c>
      <c r="DM317" s="94">
        <f t="shared" ref="DM317:DM341" si="296">0.000000056703*$H$247*(($I317+273)^4-(DK317+273)^4)*($B$237/1000*PI())*($J317-$J316)</f>
        <v>0.23306196402048257</v>
      </c>
      <c r="DN317" s="249">
        <f t="shared" ref="DN317:DN341" si="297">$BI317*($J317-$J316)*(DK317-$E317)</f>
        <v>20.884290454589053</v>
      </c>
      <c r="DO317" s="247">
        <f t="shared" ref="DO317:DO341" si="298">DK317+1</f>
        <v>534.99984532997973</v>
      </c>
      <c r="DP317" s="248">
        <f t="shared" ref="DP317:DP341" si="299">($I317-DO317)*$AA317*($J317-$J316)</f>
        <v>20.607197315272966</v>
      </c>
      <c r="DQ317" s="94">
        <f t="shared" ref="DQ317:DQ341" si="300">0.000000056703*$H$247*(($I317+273)^4-(DO317+273)^4)*($B$237/1000*PI())*($J317-$J316)</f>
        <v>0.23286533006446605</v>
      </c>
      <c r="DR317" s="249">
        <f t="shared" ref="DR317:DR341" si="301">$BI317*($J317-$J316)*(DO317-$E317)</f>
        <v>20.946000299735037</v>
      </c>
      <c r="DS317" s="247">
        <f t="shared" ref="DS317:DS341" si="302">DK317+(DL317+DM317-DN317)/(DL317+DM317-DN317-(DP317+DQ317-DR317))</f>
        <v>533.97313731423083</v>
      </c>
      <c r="DT317" s="248">
        <f t="shared" ref="DT317:DT341" si="303">($I317-DS317)*$AA317*($J317-$J316)</f>
        <v>20.649575091349757</v>
      </c>
      <c r="DU317" s="94">
        <f t="shared" ref="DU317:DU341" si="304">0.000000056703*$H$247*(($I317+273)^4-(DS317+273)^4)*($B$237/1000*PI())*($J317-$J316)</f>
        <v>0.23306720571159795</v>
      </c>
      <c r="DV317" s="249">
        <f t="shared" ref="DV317:DV341" si="305">$BI317*($J317-$J316)*(DS317-$E317)</f>
        <v>20.882642307073031</v>
      </c>
      <c r="DW317" s="249">
        <f t="shared" ref="DW317:DW341" si="306">(DT317+DU317+DV317)/2</f>
        <v>20.882642302067193</v>
      </c>
      <c r="DX317" s="249">
        <f t="shared" ref="DX317:DX342" si="307">DX316-DW317/1000/$B$251</f>
        <v>2819.5349287232602</v>
      </c>
      <c r="DY317" s="265">
        <f t="shared" si="235"/>
        <v>182.13189336654867</v>
      </c>
      <c r="DZ317" s="265">
        <f t="shared" si="236"/>
        <v>188.85259603030903</v>
      </c>
      <c r="EA317" s="94">
        <f t="shared" ref="EA317:EA342" si="308">0.000000056703*$H$247*(($CT317+273)^4-(B$247+273)^4)*($B$236/1000*PI())*($J317-$J316)</f>
        <v>0.42440184828363881</v>
      </c>
      <c r="EB317" s="157">
        <f t="shared" si="237"/>
        <v>80.58397726032598</v>
      </c>
      <c r="EC317" s="285">
        <f t="shared" ref="EC317:EC341" si="309">EB317+EA317+DV317+DG317</f>
        <v>120.64745797680888</v>
      </c>
      <c r="ED317" s="157">
        <f t="shared" ref="ED317:ED342" si="310">EC317/1000/$B$232/B$231</f>
        <v>281.78410324751837</v>
      </c>
      <c r="EE317" s="143">
        <f t="shared" si="238"/>
        <v>893.36888346639944</v>
      </c>
    </row>
    <row r="318" spans="1:135" ht="12" customHeight="1" x14ac:dyDescent="0.2">
      <c r="A318" s="200" t="s">
        <v>442</v>
      </c>
      <c r="B318" s="236">
        <f t="shared" si="239"/>
        <v>211.30711227271934</v>
      </c>
      <c r="C318" s="237">
        <f t="shared" si="240"/>
        <v>4.9788220709325861</v>
      </c>
      <c r="D318" s="236">
        <f t="shared" si="241"/>
        <v>2880.1682708315661</v>
      </c>
      <c r="E318" s="236">
        <f t="shared" si="242"/>
        <v>182.13171941779856</v>
      </c>
      <c r="F318" s="237">
        <f t="shared" si="243"/>
        <v>4.988165350713615</v>
      </c>
      <c r="G318" s="238">
        <f t="shared" si="244"/>
        <v>2819.5349287232602</v>
      </c>
      <c r="H318" s="118">
        <v>0</v>
      </c>
      <c r="I318" s="239">
        <f t="shared" si="245"/>
        <v>752.47683184264031</v>
      </c>
      <c r="J318" s="154">
        <f t="shared" ref="J318:J341" si="311">J317+B$252/25</f>
        <v>2.4258064516129038E-2</v>
      </c>
      <c r="K318" s="149">
        <f t="shared" si="183"/>
        <v>0.26693179902658865</v>
      </c>
      <c r="L318" s="240">
        <f t="shared" si="184"/>
        <v>752.47683184264031</v>
      </c>
      <c r="M318" s="154">
        <f t="shared" si="185"/>
        <v>0.34116103617884674</v>
      </c>
      <c r="N318" s="241">
        <f t="shared" si="186"/>
        <v>752.47683184264031</v>
      </c>
      <c r="O318" s="150">
        <f t="shared" si="187"/>
        <v>1.1306268201578724</v>
      </c>
      <c r="P318" s="150">
        <f t="shared" si="188"/>
        <v>6.2565769248591199</v>
      </c>
      <c r="Q318" s="152">
        <f t="shared" si="189"/>
        <v>4.2247356719064759E-5</v>
      </c>
      <c r="R318" s="152">
        <f t="shared" si="246"/>
        <v>383.31096391334319</v>
      </c>
      <c r="S318" s="153">
        <f t="shared" si="190"/>
        <v>0.16696626505697543</v>
      </c>
      <c r="T318" s="154">
        <f t="shared" si="191"/>
        <v>1.7823923921688931</v>
      </c>
      <c r="U318" s="155">
        <f t="shared" si="192"/>
        <v>0.70273069859158221</v>
      </c>
      <c r="V318" s="154">
        <f t="shared" si="193"/>
        <v>6.7876762493529155E-2</v>
      </c>
      <c r="W318" s="154">
        <f t="shared" si="247"/>
        <v>0.67878615569950695</v>
      </c>
      <c r="X318" s="154">
        <f t="shared" si="248"/>
        <v>0.50235554305303975</v>
      </c>
      <c r="Y318" s="154">
        <f t="shared" si="194"/>
        <v>9.6549363184589438</v>
      </c>
      <c r="Z318" s="154">
        <f t="shared" si="195"/>
        <v>86.380549675514999</v>
      </c>
      <c r="AA318" s="154">
        <f t="shared" si="196"/>
        <v>1.7232153767376528</v>
      </c>
      <c r="AB318" s="1"/>
      <c r="AC318" s="242">
        <f t="shared" si="197"/>
        <v>0.11822510469494217</v>
      </c>
      <c r="AD318" s="263">
        <f t="shared" si="198"/>
        <v>2.2838446919574267</v>
      </c>
      <c r="AE318" s="282">
        <f t="shared" si="199"/>
        <v>211.30711227271934</v>
      </c>
      <c r="AF318" s="243">
        <f t="shared" si="200"/>
        <v>0.32755884488047327</v>
      </c>
      <c r="AG318" s="243">
        <f t="shared" si="201"/>
        <v>20.402905201747281</v>
      </c>
      <c r="AH318" s="264">
        <f t="shared" si="202"/>
        <v>1.6588235387050052E-5</v>
      </c>
      <c r="AI318" s="264">
        <f t="shared" si="203"/>
        <v>12700.245279514027</v>
      </c>
      <c r="AJ318" s="245">
        <f t="shared" si="204"/>
        <v>4.4069413946143464E-2</v>
      </c>
      <c r="AK318" s="264">
        <f t="shared" si="205"/>
        <v>56.199221859109542</v>
      </c>
      <c r="AL318" s="246">
        <f t="shared" si="206"/>
        <v>0.9991986954906924</v>
      </c>
      <c r="AM318" s="263">
        <f t="shared" si="207"/>
        <v>3.606102287786582E-2</v>
      </c>
      <c r="AN318" s="263">
        <f t="shared" si="249"/>
        <v>1.2999145637697176</v>
      </c>
      <c r="AO318" s="263">
        <f t="shared" si="250"/>
        <v>1.1256802765380123</v>
      </c>
      <c r="AP318" s="235">
        <f t="shared" si="208"/>
        <v>49.665329708983563</v>
      </c>
      <c r="AQ318" s="235">
        <f t="shared" si="209"/>
        <v>396.12991924099919</v>
      </c>
      <c r="AR318" s="263">
        <f t="shared" si="210"/>
        <v>5.6265377501919627</v>
      </c>
      <c r="AT318" s="242">
        <f t="shared" si="211"/>
        <v>0.11742568006640414</v>
      </c>
      <c r="AU318" s="263">
        <f t="shared" si="212"/>
        <v>2.66989368077639</v>
      </c>
      <c r="AV318" s="282">
        <f t="shared" si="213"/>
        <v>182.13171941779856</v>
      </c>
      <c r="AW318" s="243">
        <f t="shared" si="214"/>
        <v>0.28019599977720216</v>
      </c>
      <c r="AX318" s="243">
        <f t="shared" si="215"/>
        <v>17.452779891958439</v>
      </c>
      <c r="AY318" s="264">
        <f t="shared" si="216"/>
        <v>1.5377648193978773E-5</v>
      </c>
      <c r="AZ318" s="264">
        <f t="shared" si="217"/>
        <v>13700.057090156417</v>
      </c>
      <c r="BA318" s="245">
        <f t="shared" si="218"/>
        <v>4.3771421612242054E-2</v>
      </c>
      <c r="BB318" s="264">
        <f t="shared" si="219"/>
        <v>47.748120252661288</v>
      </c>
      <c r="BC318" s="246">
        <f t="shared" si="220"/>
        <v>1.0273229439472931</v>
      </c>
      <c r="BD318" s="263">
        <f t="shared" si="221"/>
        <v>3.3722232780801505E-2</v>
      </c>
      <c r="BE318" s="263">
        <f t="shared" si="251"/>
        <v>1.0541815504144378</v>
      </c>
      <c r="BF318" s="263">
        <f t="shared" si="252"/>
        <v>1.0164972687160441</v>
      </c>
      <c r="BG318" s="235">
        <f t="shared" si="222"/>
        <v>48.183101164880803</v>
      </c>
      <c r="BH318" s="235">
        <f t="shared" si="223"/>
        <v>359.38285269021912</v>
      </c>
      <c r="BI318" s="263">
        <f t="shared" si="224"/>
        <v>5.1045909163023682</v>
      </c>
      <c r="BJ318" s="247">
        <f t="shared" ref="BJ318:BJ341" si="312">BR317</f>
        <v>462.45550084629758</v>
      </c>
      <c r="BK318" s="248">
        <f t="shared" si="253"/>
        <v>6.0617169564584419</v>
      </c>
      <c r="BL318" s="94">
        <f t="shared" si="254"/>
        <v>7.5931571955721353E-2</v>
      </c>
      <c r="BM318" s="249">
        <f t="shared" si="255"/>
        <v>17.139485623955757</v>
      </c>
      <c r="BN318" s="247">
        <f t="shared" si="256"/>
        <v>463.45550084629758</v>
      </c>
      <c r="BO318" s="248">
        <f t="shared" si="257"/>
        <v>6.040816021566398</v>
      </c>
      <c r="BP318" s="94">
        <f t="shared" si="258"/>
        <v>7.5782709261641892E-2</v>
      </c>
      <c r="BQ318" s="249">
        <f t="shared" si="259"/>
        <v>17.207730081829052</v>
      </c>
      <c r="BR318" s="247">
        <f t="shared" si="260"/>
        <v>339.24671167013992</v>
      </c>
      <c r="BS318" s="248">
        <f t="shared" si="261"/>
        <v>8.6368958371568638</v>
      </c>
      <c r="BT318" s="94">
        <f t="shared" si="262"/>
        <v>9.0128004548983634E-2</v>
      </c>
      <c r="BU318" s="249">
        <f t="shared" si="263"/>
        <v>8.7311686014036454</v>
      </c>
      <c r="BV318" s="283">
        <f t="shared" si="264"/>
        <v>8.7290962215547463</v>
      </c>
      <c r="BW318" s="282">
        <f t="shared" si="265"/>
        <v>2891.8367265540433</v>
      </c>
      <c r="BX318" s="265">
        <f t="shared" si="225"/>
        <v>216.92464916625795</v>
      </c>
      <c r="BY318" s="265">
        <f t="shared" si="226"/>
        <v>210.27768471379102</v>
      </c>
      <c r="BZ318" s="284">
        <f t="shared" ref="BZ318:BZ341" si="313">CH317</f>
        <v>533.99984532997973</v>
      </c>
      <c r="CA318" s="248">
        <f t="shared" si="266"/>
        <v>4.5663732705110487</v>
      </c>
      <c r="CB318" s="94">
        <f t="shared" si="267"/>
        <v>6.3649052076887092E-2</v>
      </c>
      <c r="CC318" s="249">
        <f t="shared" si="268"/>
        <v>21.785474437569018</v>
      </c>
      <c r="CD318" s="247">
        <f t="shared" si="269"/>
        <v>534.99984532997973</v>
      </c>
      <c r="CE318" s="248">
        <f t="shared" si="270"/>
        <v>4.5454723356190048</v>
      </c>
      <c r="CF318" s="94">
        <f t="shared" si="271"/>
        <v>6.345241812087056E-2</v>
      </c>
      <c r="CG318" s="249">
        <f t="shared" si="272"/>
        <v>21.847388185457074</v>
      </c>
      <c r="CH318" s="247">
        <f t="shared" si="273"/>
        <v>327.33582903066269</v>
      </c>
      <c r="CI318" s="248">
        <f t="shared" si="274"/>
        <v>8.8858444197113524</v>
      </c>
      <c r="CJ318" s="94">
        <f t="shared" si="275"/>
        <v>9.1119431678929205E-2</v>
      </c>
      <c r="CK318" s="249">
        <f t="shared" si="276"/>
        <v>8.9901306348803072</v>
      </c>
      <c r="CL318" s="249">
        <f t="shared" si="277"/>
        <v>8.9835472431352947</v>
      </c>
      <c r="CM318" s="249">
        <f t="shared" si="278"/>
        <v>2807.5259791017679</v>
      </c>
      <c r="CN318" s="265">
        <f t="shared" si="227"/>
        <v>176.35090350788406</v>
      </c>
      <c r="CO318" s="265">
        <f t="shared" si="228"/>
        <v>182.601706281909</v>
      </c>
      <c r="CP318" s="94">
        <f t="shared" si="279"/>
        <v>0.27741662431637343</v>
      </c>
      <c r="CQ318" s="157">
        <f t="shared" si="229"/>
        <v>34.318000458041155</v>
      </c>
      <c r="CR318" s="285">
        <f t="shared" si="230"/>
        <v>52.314643938792585</v>
      </c>
      <c r="CS318" s="157">
        <f t="shared" si="231"/>
        <v>122.18603919395902</v>
      </c>
      <c r="CT318" s="143">
        <f t="shared" si="232"/>
        <v>691.38381224566081</v>
      </c>
      <c r="CU318" s="247">
        <f t="shared" si="280"/>
        <v>339.24671167013992</v>
      </c>
      <c r="CV318" s="248">
        <f t="shared" si="281"/>
        <v>7.3599946122020397</v>
      </c>
      <c r="CW318" s="94">
        <f t="shared" si="282"/>
        <v>6.763695193385566E-2</v>
      </c>
      <c r="CX318" s="249">
        <f t="shared" si="283"/>
        <v>8.8014213270825401</v>
      </c>
      <c r="CY318" s="247">
        <f t="shared" si="284"/>
        <v>340.24671167013992</v>
      </c>
      <c r="CZ318" s="248">
        <f t="shared" si="285"/>
        <v>7.3390936773099948</v>
      </c>
      <c r="DA318" s="94">
        <f t="shared" si="286"/>
        <v>6.7551035891434741E-2</v>
      </c>
      <c r="DB318" s="249">
        <f t="shared" si="287"/>
        <v>8.8696657849558349</v>
      </c>
      <c r="DC318" s="247">
        <f t="shared" si="288"/>
        <v>323.85088501128939</v>
      </c>
      <c r="DD318" s="248">
        <f t="shared" si="289"/>
        <v>7.6817817828078656</v>
      </c>
      <c r="DE318" s="94">
        <f t="shared" si="290"/>
        <v>6.8907521697427337E-2</v>
      </c>
      <c r="DF318" s="249">
        <f t="shared" si="291"/>
        <v>7.7507414832380457</v>
      </c>
      <c r="DG318" s="283">
        <f t="shared" si="292"/>
        <v>7.7507153938716691</v>
      </c>
      <c r="DH318" s="282">
        <f t="shared" si="293"/>
        <v>2883.7182237279289</v>
      </c>
      <c r="DI318" s="265">
        <f t="shared" si="233"/>
        <v>213.015280145182</v>
      </c>
      <c r="DJ318" s="265">
        <f t="shared" si="234"/>
        <v>207.50310497729441</v>
      </c>
      <c r="DK318" s="284">
        <f t="shared" si="294"/>
        <v>327.33582903066269</v>
      </c>
      <c r="DL318" s="248">
        <f t="shared" si="295"/>
        <v>8.8858444197113524</v>
      </c>
      <c r="DM318" s="94">
        <f t="shared" si="296"/>
        <v>9.1119431678929205E-2</v>
      </c>
      <c r="DN318" s="249">
        <f t="shared" si="297"/>
        <v>8.9901306348803072</v>
      </c>
      <c r="DO318" s="247">
        <f t="shared" si="298"/>
        <v>328.33582903066269</v>
      </c>
      <c r="DP318" s="248">
        <f t="shared" si="299"/>
        <v>8.8649434848193067</v>
      </c>
      <c r="DQ318" s="94">
        <f t="shared" si="300"/>
        <v>9.1038429113176444E-2</v>
      </c>
      <c r="DR318" s="249">
        <f t="shared" si="301"/>
        <v>9.0520443827683614</v>
      </c>
      <c r="DS318" s="247">
        <f t="shared" si="302"/>
        <v>327.17699345996812</v>
      </c>
      <c r="DT318" s="248">
        <f t="shared" si="303"/>
        <v>8.8891642316329786</v>
      </c>
      <c r="DU318" s="94">
        <f t="shared" si="304"/>
        <v>9.1132260572561866E-2</v>
      </c>
      <c r="DV318" s="249">
        <f t="shared" si="305"/>
        <v>8.9802965294006682</v>
      </c>
      <c r="DW318" s="249">
        <f t="shared" si="306"/>
        <v>8.9802965108031039</v>
      </c>
      <c r="DX318" s="249">
        <f t="shared" si="307"/>
        <v>2807.5306857235928</v>
      </c>
      <c r="DY318" s="265">
        <f t="shared" si="235"/>
        <v>176.35316972305912</v>
      </c>
      <c r="DZ318" s="265">
        <f t="shared" si="236"/>
        <v>182.60288287668408</v>
      </c>
      <c r="EA318" s="94">
        <f t="shared" si="308"/>
        <v>0.21498146225677811</v>
      </c>
      <c r="EB318" s="157">
        <f t="shared" si="237"/>
        <v>30.773322657566556</v>
      </c>
      <c r="EC318" s="285">
        <f t="shared" si="309"/>
        <v>47.719316043095674</v>
      </c>
      <c r="ED318" s="157">
        <f t="shared" si="310"/>
        <v>111.45319515454156</v>
      </c>
      <c r="EE318" s="143">
        <f t="shared" si="238"/>
        <v>696.7502342653695</v>
      </c>
    </row>
    <row r="319" spans="1:135" ht="12" customHeight="1" x14ac:dyDescent="0.2">
      <c r="A319" s="200" t="s">
        <v>442</v>
      </c>
      <c r="B319" s="236">
        <f t="shared" si="239"/>
        <v>216.92464916625795</v>
      </c>
      <c r="C319" s="237">
        <f t="shared" si="240"/>
        <v>4.978260078713995</v>
      </c>
      <c r="D319" s="236">
        <f t="shared" si="241"/>
        <v>2891.8367265540433</v>
      </c>
      <c r="E319" s="236">
        <f t="shared" si="242"/>
        <v>176.35090350788406</v>
      </c>
      <c r="F319" s="237">
        <f t="shared" si="243"/>
        <v>4.9886428319161418</v>
      </c>
      <c r="G319" s="238">
        <f t="shared" si="244"/>
        <v>2807.5306857235928</v>
      </c>
      <c r="H319" s="118">
        <v>0</v>
      </c>
      <c r="I319" s="239">
        <f t="shared" si="245"/>
        <v>641.0236366880988</v>
      </c>
      <c r="J319" s="154">
        <f t="shared" si="311"/>
        <v>3.6387096774193557E-2</v>
      </c>
      <c r="K319" s="149">
        <f t="shared" si="183"/>
        <v>0.24871135140410058</v>
      </c>
      <c r="L319" s="240">
        <f t="shared" si="184"/>
        <v>641.0236366880988</v>
      </c>
      <c r="M319" s="154">
        <f t="shared" si="185"/>
        <v>0.37675032965444183</v>
      </c>
      <c r="N319" s="241">
        <f t="shared" si="186"/>
        <v>641.0236366880988</v>
      </c>
      <c r="O319" s="150">
        <f t="shared" si="187"/>
        <v>1.0238234372626693</v>
      </c>
      <c r="P319" s="150">
        <f t="shared" si="188"/>
        <v>5.6655564669986607</v>
      </c>
      <c r="Q319" s="152">
        <f t="shared" si="189"/>
        <v>3.936360231777062E-5</v>
      </c>
      <c r="R319" s="152">
        <f t="shared" si="246"/>
        <v>411.39210014488117</v>
      </c>
      <c r="S319" s="153">
        <f t="shared" si="190"/>
        <v>0.15556934607509704</v>
      </c>
      <c r="T319" s="154">
        <f t="shared" si="191"/>
        <v>1.5038495750180301</v>
      </c>
      <c r="U319" s="155">
        <f t="shared" si="192"/>
        <v>0.69578525728455154</v>
      </c>
      <c r="V319" s="154">
        <f t="shared" si="193"/>
        <v>6.2296412465336418E-2</v>
      </c>
      <c r="W319" s="154">
        <f t="shared" si="247"/>
        <v>0.59297440549601277</v>
      </c>
      <c r="X319" s="154">
        <f t="shared" si="248"/>
        <v>0.4213509050890244</v>
      </c>
      <c r="Y319" s="154">
        <f t="shared" si="194"/>
        <v>8.2637859405709051</v>
      </c>
      <c r="Z319" s="154">
        <f t="shared" si="195"/>
        <v>67.855886108051607</v>
      </c>
      <c r="AA319" s="154">
        <f t="shared" si="196"/>
        <v>1.353664763454242</v>
      </c>
      <c r="AB319" s="1"/>
      <c r="AC319" s="242">
        <f t="shared" si="197"/>
        <v>0.11837761254718461</v>
      </c>
      <c r="AD319" s="263">
        <f t="shared" si="198"/>
        <v>2.2545968192393193</v>
      </c>
      <c r="AE319" s="282">
        <f t="shared" si="199"/>
        <v>216.92464916625795</v>
      </c>
      <c r="AF319" s="243">
        <f t="shared" si="200"/>
        <v>0.33180811877326027</v>
      </c>
      <c r="AG319" s="243">
        <f t="shared" si="201"/>
        <v>20.667582934514435</v>
      </c>
      <c r="AH319" s="264">
        <f t="shared" si="202"/>
        <v>1.6821376663873405E-5</v>
      </c>
      <c r="AI319" s="264">
        <f t="shared" si="203"/>
        <v>12524.222147781007</v>
      </c>
      <c r="AJ319" s="245">
        <f t="shared" si="204"/>
        <v>4.4126262546006004E-2</v>
      </c>
      <c r="AK319" s="264">
        <f t="shared" si="205"/>
        <v>57.001705390785894</v>
      </c>
      <c r="AL319" s="246">
        <f t="shared" si="206"/>
        <v>0.99434278320576786</v>
      </c>
      <c r="AM319" s="263">
        <f t="shared" si="207"/>
        <v>3.6529342951681608E-2</v>
      </c>
      <c r="AN319" s="263">
        <f t="shared" si="249"/>
        <v>1.2279147244716573</v>
      </c>
      <c r="AO319" s="263">
        <f t="shared" si="250"/>
        <v>1.0839150458755369</v>
      </c>
      <c r="AP319" s="235">
        <f t="shared" si="208"/>
        <v>47.199580752615958</v>
      </c>
      <c r="AQ319" s="235">
        <f t="shared" si="209"/>
        <v>381.3522234114613</v>
      </c>
      <c r="AR319" s="263">
        <f t="shared" si="210"/>
        <v>5.4166387766303021</v>
      </c>
      <c r="AT319" s="242">
        <f t="shared" si="211"/>
        <v>0.11726577057244429</v>
      </c>
      <c r="AU319" s="263">
        <f t="shared" si="212"/>
        <v>2.6701344523468071</v>
      </c>
      <c r="AV319" s="282">
        <f t="shared" si="213"/>
        <v>176.35090350788406</v>
      </c>
      <c r="AW319" s="243">
        <f t="shared" si="214"/>
        <v>0.28017073392183239</v>
      </c>
      <c r="AX319" s="243">
        <f t="shared" si="215"/>
        <v>17.451206138539753</v>
      </c>
      <c r="AY319" s="264">
        <f t="shared" si="216"/>
        <v>1.5137834396487871E-5</v>
      </c>
      <c r="AZ319" s="264">
        <f t="shared" si="217"/>
        <v>13917.093598191861</v>
      </c>
      <c r="BA319" s="245">
        <f t="shared" si="218"/>
        <v>4.3711813987436655E-2</v>
      </c>
      <c r="BB319" s="264">
        <f t="shared" si="219"/>
        <v>47.678797502714936</v>
      </c>
      <c r="BC319" s="246">
        <f t="shared" si="220"/>
        <v>1.0334378565043907</v>
      </c>
      <c r="BD319" s="263">
        <f t="shared" si="221"/>
        <v>3.3276264659766012E-2</v>
      </c>
      <c r="BE319" s="263">
        <f t="shared" si="251"/>
        <v>1.0558199974448028</v>
      </c>
      <c r="BF319" s="263">
        <f t="shared" si="252"/>
        <v>1.0170072984832059</v>
      </c>
      <c r="BG319" s="235">
        <f t="shared" si="222"/>
        <v>48.933298380633374</v>
      </c>
      <c r="BH319" s="235">
        <f t="shared" si="223"/>
        <v>360.1515941761603</v>
      </c>
      <c r="BI319" s="263">
        <f t="shared" si="224"/>
        <v>5.1155099425629302</v>
      </c>
      <c r="BJ319" s="247">
        <f t="shared" si="312"/>
        <v>339.24671167013992</v>
      </c>
      <c r="BK319" s="248">
        <f t="shared" si="253"/>
        <v>4.9547677733053019</v>
      </c>
      <c r="BL319" s="94">
        <f t="shared" si="254"/>
        <v>5.2044668891297843E-2</v>
      </c>
      <c r="BM319" s="249">
        <f t="shared" si="255"/>
        <v>8.0363865984021601</v>
      </c>
      <c r="BN319" s="247">
        <f t="shared" si="256"/>
        <v>340.24671167013992</v>
      </c>
      <c r="BO319" s="248">
        <f t="shared" si="257"/>
        <v>4.9383491297227602</v>
      </c>
      <c r="BP319" s="94">
        <f t="shared" si="258"/>
        <v>5.1958752848876945E-2</v>
      </c>
      <c r="BQ319" s="249">
        <f t="shared" si="259"/>
        <v>8.1020851848541913</v>
      </c>
      <c r="BR319" s="247">
        <f t="shared" si="260"/>
        <v>302.39198894008803</v>
      </c>
      <c r="BS319" s="248">
        <f t="shared" si="261"/>
        <v>5.559872330143425</v>
      </c>
      <c r="BT319" s="94">
        <f t="shared" si="262"/>
        <v>5.4929399133107265E-2</v>
      </c>
      <c r="BU319" s="249">
        <f t="shared" si="263"/>
        <v>5.6150834109561742</v>
      </c>
      <c r="BV319" s="283">
        <f t="shared" si="264"/>
        <v>5.6149425701163533</v>
      </c>
      <c r="BW319" s="282">
        <f t="shared" si="265"/>
        <v>2899.3423957666096</v>
      </c>
      <c r="BX319" s="265">
        <f t="shared" si="225"/>
        <v>220.53764376156991</v>
      </c>
      <c r="BY319" s="265">
        <f t="shared" si="226"/>
        <v>215.40766423768048</v>
      </c>
      <c r="BZ319" s="284">
        <f t="shared" si="313"/>
        <v>327.33582903066269</v>
      </c>
      <c r="CA319" s="248">
        <f t="shared" si="266"/>
        <v>5.1503283101163637</v>
      </c>
      <c r="CB319" s="94">
        <f t="shared" si="267"/>
        <v>5.3036096021243428E-2</v>
      </c>
      <c r="CC319" s="249">
        <f t="shared" si="268"/>
        <v>9.3680386377750189</v>
      </c>
      <c r="CD319" s="247">
        <f t="shared" si="269"/>
        <v>328.33582903066269</v>
      </c>
      <c r="CE319" s="248">
        <f t="shared" si="270"/>
        <v>5.1339096665338211</v>
      </c>
      <c r="CF319" s="94">
        <f t="shared" si="271"/>
        <v>5.2955093455490654E-2</v>
      </c>
      <c r="CG319" s="249">
        <f t="shared" si="272"/>
        <v>9.4300848228848153</v>
      </c>
      <c r="CH319" s="247">
        <f t="shared" si="273"/>
        <v>274.31361047455863</v>
      </c>
      <c r="CI319" s="248">
        <f t="shared" si="274"/>
        <v>6.0208812185446687</v>
      </c>
      <c r="CJ319" s="94">
        <f t="shared" si="275"/>
        <v>5.6785417485367994E-2</v>
      </c>
      <c r="CK319" s="249">
        <f t="shared" si="276"/>
        <v>6.0782122503109495</v>
      </c>
      <c r="CL319" s="249">
        <f t="shared" si="277"/>
        <v>6.077939443170493</v>
      </c>
      <c r="CM319" s="249">
        <f t="shared" si="278"/>
        <v>2799.401407499337</v>
      </c>
      <c r="CN319" s="265">
        <f t="shared" si="227"/>
        <v>172.44026276087251</v>
      </c>
      <c r="CO319" s="265">
        <f t="shared" si="228"/>
        <v>177.52098452139074</v>
      </c>
      <c r="CP319" s="94">
        <f t="shared" si="279"/>
        <v>0.17169728453063768</v>
      </c>
      <c r="CQ319" s="157">
        <f t="shared" si="229"/>
        <v>21.87853338796829</v>
      </c>
      <c r="CR319" s="285">
        <f t="shared" si="230"/>
        <v>33.74338549292623</v>
      </c>
      <c r="CS319" s="157">
        <f t="shared" si="231"/>
        <v>78.811023299697325</v>
      </c>
      <c r="CT319" s="143">
        <f t="shared" si="232"/>
        <v>601.61812503825013</v>
      </c>
      <c r="CU319" s="247">
        <f t="shared" si="280"/>
        <v>302.39198894008803</v>
      </c>
      <c r="CV319" s="248">
        <f t="shared" si="281"/>
        <v>4.9128872791768616</v>
      </c>
      <c r="CW319" s="94">
        <f t="shared" si="282"/>
        <v>4.4398175627956261E-2</v>
      </c>
      <c r="CX319" s="249">
        <f t="shared" si="283"/>
        <v>5.7147471764327511</v>
      </c>
      <c r="CY319" s="247">
        <f t="shared" si="284"/>
        <v>303.39198894008803</v>
      </c>
      <c r="CZ319" s="248">
        <f t="shared" si="285"/>
        <v>4.8964686355943199</v>
      </c>
      <c r="DA319" s="94">
        <f t="shared" si="286"/>
        <v>4.4326848547844536E-2</v>
      </c>
      <c r="DB319" s="249">
        <f t="shared" si="287"/>
        <v>5.7804457628847832</v>
      </c>
      <c r="DC319" s="247">
        <f t="shared" si="288"/>
        <v>293.17584318672027</v>
      </c>
      <c r="DD319" s="248">
        <f t="shared" si="289"/>
        <v>5.0642038915061631</v>
      </c>
      <c r="DE319" s="94">
        <f t="shared" si="290"/>
        <v>4.5038240255018014E-2</v>
      </c>
      <c r="DF319" s="249">
        <f t="shared" si="291"/>
        <v>5.1092594279005912</v>
      </c>
      <c r="DG319" s="283">
        <f t="shared" si="292"/>
        <v>5.1092507798308855</v>
      </c>
      <c r="DH319" s="282">
        <f t="shared" si="293"/>
        <v>2890.5479189204593</v>
      </c>
      <c r="DI319" s="265">
        <f t="shared" si="233"/>
        <v>216.30274463924343</v>
      </c>
      <c r="DJ319" s="265">
        <f t="shared" si="234"/>
        <v>211.90292480826892</v>
      </c>
      <c r="DK319" s="284">
        <f t="shared" si="294"/>
        <v>274.31361047455863</v>
      </c>
      <c r="DL319" s="248">
        <f t="shared" si="295"/>
        <v>6.0208812185446687</v>
      </c>
      <c r="DM319" s="94">
        <f t="shared" si="296"/>
        <v>5.6785417485367994E-2</v>
      </c>
      <c r="DN319" s="249">
        <f t="shared" si="297"/>
        <v>6.0782122503109495</v>
      </c>
      <c r="DO319" s="247">
        <f t="shared" si="298"/>
        <v>275.31361047455863</v>
      </c>
      <c r="DP319" s="248">
        <f t="shared" si="299"/>
        <v>6.004462574962127</v>
      </c>
      <c r="DQ319" s="94">
        <f t="shared" si="300"/>
        <v>5.6724022935017437E-2</v>
      </c>
      <c r="DR319" s="249">
        <f t="shared" si="301"/>
        <v>6.140258435420745</v>
      </c>
      <c r="DS319" s="247">
        <f t="shared" si="302"/>
        <v>274.30666229523223</v>
      </c>
      <c r="DT319" s="248">
        <f t="shared" si="303"/>
        <v>6.0209952982245767</v>
      </c>
      <c r="DU319" s="94">
        <f t="shared" si="304"/>
        <v>5.6785842890279763E-2</v>
      </c>
      <c r="DV319" s="249">
        <f t="shared" si="305"/>
        <v>6.0777811422902879</v>
      </c>
      <c r="DW319" s="249">
        <f t="shared" si="306"/>
        <v>6.0777811417025722</v>
      </c>
      <c r="DX319" s="249">
        <f t="shared" si="307"/>
        <v>2799.4063257276812</v>
      </c>
      <c r="DY319" s="265">
        <f t="shared" si="235"/>
        <v>172.44263085270779</v>
      </c>
      <c r="DZ319" s="265">
        <f t="shared" si="236"/>
        <v>177.52275686469594</v>
      </c>
      <c r="EA319" s="94">
        <f t="shared" si="308"/>
        <v>0.1424626080803385</v>
      </c>
      <c r="EB319" s="157">
        <f t="shared" si="237"/>
        <v>20.082502886485109</v>
      </c>
      <c r="EC319" s="285">
        <f t="shared" si="309"/>
        <v>31.411997416686624</v>
      </c>
      <c r="ED319" s="157">
        <f t="shared" si="310"/>
        <v>73.365835233559935</v>
      </c>
      <c r="EE319" s="143">
        <f t="shared" si="238"/>
        <v>604.34071907131886</v>
      </c>
    </row>
    <row r="320" spans="1:135" ht="12" customHeight="1" x14ac:dyDescent="0.2">
      <c r="A320" s="200" t="s">
        <v>442</v>
      </c>
      <c r="B320" s="236">
        <f t="shared" si="239"/>
        <v>220.53764376156991</v>
      </c>
      <c r="C320" s="237">
        <f t="shared" si="240"/>
        <v>4.9776900616600868</v>
      </c>
      <c r="D320" s="236">
        <f t="shared" si="241"/>
        <v>2899.3423957666096</v>
      </c>
      <c r="E320" s="236">
        <f t="shared" si="242"/>
        <v>172.44026276087251</v>
      </c>
      <c r="F320" s="237">
        <f t="shared" si="243"/>
        <v>4.9891196198911691</v>
      </c>
      <c r="G320" s="238">
        <f t="shared" si="244"/>
        <v>2799.4063257276812</v>
      </c>
      <c r="H320" s="118">
        <v>0</v>
      </c>
      <c r="I320" s="239">
        <f t="shared" si="245"/>
        <v>567.65780145453891</v>
      </c>
      <c r="J320" s="154">
        <f t="shared" si="311"/>
        <v>4.8516129032258076E-2</v>
      </c>
      <c r="K320" s="149">
        <f t="shared" si="183"/>
        <v>0.23596230098938459</v>
      </c>
      <c r="L320" s="240">
        <f t="shared" si="184"/>
        <v>567.65780145453891</v>
      </c>
      <c r="M320" s="154">
        <f t="shared" si="185"/>
        <v>0.40618984534014374</v>
      </c>
      <c r="N320" s="241">
        <f t="shared" si="186"/>
        <v>567.65780145453891</v>
      </c>
      <c r="O320" s="150">
        <f t="shared" si="187"/>
        <v>0.94961954840020002</v>
      </c>
      <c r="P320" s="150">
        <f t="shared" si="188"/>
        <v>5.2549326161272392</v>
      </c>
      <c r="Q320" s="152">
        <f t="shared" si="189"/>
        <v>3.7345807200575928E-5</v>
      </c>
      <c r="R320" s="152">
        <f t="shared" si="246"/>
        <v>433.61962802951103</v>
      </c>
      <c r="S320" s="153">
        <f t="shared" si="190"/>
        <v>0.14759479475325854</v>
      </c>
      <c r="T320" s="154">
        <f t="shared" si="191"/>
        <v>1.3233538698820917</v>
      </c>
      <c r="U320" s="155">
        <f t="shared" si="192"/>
        <v>0.69139050587323025</v>
      </c>
      <c r="V320" s="154">
        <f t="shared" si="193"/>
        <v>5.8623058461027305E-2</v>
      </c>
      <c r="W320" s="154">
        <f t="shared" si="247"/>
        <v>0.53875305328779599</v>
      </c>
      <c r="X320" s="154">
        <f t="shared" si="248"/>
        <v>0.37608899666314571</v>
      </c>
      <c r="Y320" s="154">
        <f t="shared" si="194"/>
        <v>7.4907633934310276</v>
      </c>
      <c r="Z320" s="154">
        <f t="shared" si="195"/>
        <v>57.88152728155076</v>
      </c>
      <c r="AA320" s="154">
        <f t="shared" si="196"/>
        <v>1.1546851486278593</v>
      </c>
      <c r="AB320" s="1"/>
      <c r="AC320" s="242">
        <f t="shared" si="197"/>
        <v>0.11847546535721004</v>
      </c>
      <c r="AD320" s="263">
        <f t="shared" si="198"/>
        <v>2.2361281122864689</v>
      </c>
      <c r="AE320" s="282">
        <f t="shared" si="199"/>
        <v>220.53764376156991</v>
      </c>
      <c r="AF320" s="243">
        <f t="shared" si="200"/>
        <v>0.33454859990961783</v>
      </c>
      <c r="AG320" s="243">
        <f t="shared" si="201"/>
        <v>20.838281353153331</v>
      </c>
      <c r="AH320" s="264">
        <f t="shared" si="202"/>
        <v>1.6971333217474464E-5</v>
      </c>
      <c r="AI320" s="264">
        <f t="shared" si="203"/>
        <v>12413.559705075473</v>
      </c>
      <c r="AJ320" s="245">
        <f t="shared" si="204"/>
        <v>4.4162738013732848E-2</v>
      </c>
      <c r="AK320" s="264">
        <f t="shared" si="205"/>
        <v>57.520003530919396</v>
      </c>
      <c r="AL320" s="246">
        <f t="shared" si="206"/>
        <v>0.99130948394263085</v>
      </c>
      <c r="AM320" s="263">
        <f t="shared" si="207"/>
        <v>3.6833439116011647E-2</v>
      </c>
      <c r="AN320" s="263">
        <f t="shared" si="249"/>
        <v>1.1872211562550703</v>
      </c>
      <c r="AO320" s="263">
        <f t="shared" si="250"/>
        <v>1.0651404516053093</v>
      </c>
      <c r="AP320" s="235">
        <f t="shared" si="208"/>
        <v>45.997633536941692</v>
      </c>
      <c r="AQ320" s="235">
        <f t="shared" si="209"/>
        <v>374.73481251958719</v>
      </c>
      <c r="AR320" s="263">
        <f t="shared" si="210"/>
        <v>5.3226466028934603</v>
      </c>
      <c r="AT320" s="242">
        <f t="shared" si="211"/>
        <v>0.11715730165958639</v>
      </c>
      <c r="AU320" s="263">
        <f t="shared" si="212"/>
        <v>2.6703748730234218</v>
      </c>
      <c r="AV320" s="282">
        <f t="shared" si="213"/>
        <v>172.44026276087251</v>
      </c>
      <c r="AW320" s="243">
        <f t="shared" si="214"/>
        <v>0.2801455094344027</v>
      </c>
      <c r="AX320" s="243">
        <f t="shared" si="215"/>
        <v>17.449634961837205</v>
      </c>
      <c r="AY320" s="264">
        <f t="shared" si="216"/>
        <v>1.4975613502634662E-5</v>
      </c>
      <c r="AZ320" s="264">
        <f t="shared" si="217"/>
        <v>14067.848247605076</v>
      </c>
      <c r="BA320" s="245">
        <f t="shared" si="218"/>
        <v>4.3671381277029193E-2</v>
      </c>
      <c r="BB320" s="264">
        <f t="shared" si="219"/>
        <v>47.630406724269555</v>
      </c>
      <c r="BC320" s="246">
        <f t="shared" si="220"/>
        <v>1.0376820040661654</v>
      </c>
      <c r="BD320" s="263">
        <f t="shared" si="221"/>
        <v>3.2978028029493546E-2</v>
      </c>
      <c r="BE320" s="263">
        <f t="shared" si="251"/>
        <v>1.0575842110339664</v>
      </c>
      <c r="BF320" s="263">
        <f t="shared" si="252"/>
        <v>1.0175574008694412</v>
      </c>
      <c r="BG320" s="235">
        <f t="shared" si="222"/>
        <v>49.464612050597097</v>
      </c>
      <c r="BH320" s="235">
        <f t="shared" si="223"/>
        <v>360.79920434234617</v>
      </c>
      <c r="BI320" s="263">
        <f t="shared" si="224"/>
        <v>5.1247084475747062</v>
      </c>
      <c r="BJ320" s="247">
        <f t="shared" si="312"/>
        <v>302.39198894008803</v>
      </c>
      <c r="BK320" s="248">
        <f t="shared" si="253"/>
        <v>3.7151043161314883</v>
      </c>
      <c r="BL320" s="94">
        <f t="shared" si="254"/>
        <v>3.6394582129571348E-2</v>
      </c>
      <c r="BM320" s="249">
        <f t="shared" si="255"/>
        <v>5.2843980278544231</v>
      </c>
      <c r="BN320" s="247">
        <f t="shared" si="256"/>
        <v>303.39198894008803</v>
      </c>
      <c r="BO320" s="248">
        <f t="shared" si="257"/>
        <v>3.7010991027158728</v>
      </c>
      <c r="BP320" s="94">
        <f t="shared" si="258"/>
        <v>3.6323255049459623E-2</v>
      </c>
      <c r="BQ320" s="249">
        <f t="shared" si="259"/>
        <v>5.3489565801991956</v>
      </c>
      <c r="BR320" s="247">
        <f t="shared" si="260"/>
        <v>282.89815896900069</v>
      </c>
      <c r="BS320" s="248">
        <f t="shared" si="261"/>
        <v>3.9881195651642849</v>
      </c>
      <c r="BT320" s="94">
        <f t="shared" si="262"/>
        <v>3.7712502413267505E-2</v>
      </c>
      <c r="BU320" s="249">
        <f t="shared" si="263"/>
        <v>4.0259045852658897</v>
      </c>
      <c r="BV320" s="283">
        <f t="shared" si="264"/>
        <v>4.0258683264217208</v>
      </c>
      <c r="BW320" s="282">
        <f t="shared" si="265"/>
        <v>2904.7238997756244</v>
      </c>
      <c r="BX320" s="265">
        <f t="shared" si="225"/>
        <v>223.12778166351384</v>
      </c>
      <c r="BY320" s="265">
        <f t="shared" si="226"/>
        <v>219.26772295059715</v>
      </c>
      <c r="BZ320" s="284">
        <f t="shared" si="313"/>
        <v>274.31361047455863</v>
      </c>
      <c r="CA320" s="248">
        <f t="shared" si="266"/>
        <v>4.1083479989056455</v>
      </c>
      <c r="CB320" s="94">
        <f t="shared" si="267"/>
        <v>3.8250600481832084E-2</v>
      </c>
      <c r="CC320" s="249">
        <f t="shared" si="268"/>
        <v>6.3322184938629702</v>
      </c>
      <c r="CD320" s="247">
        <f t="shared" si="269"/>
        <v>275.31361047455863</v>
      </c>
      <c r="CE320" s="248">
        <f t="shared" si="270"/>
        <v>4.0943427854900296</v>
      </c>
      <c r="CF320" s="94">
        <f t="shared" si="271"/>
        <v>3.8189205931481528E-2</v>
      </c>
      <c r="CG320" s="249">
        <f t="shared" si="272"/>
        <v>6.3943762479367798</v>
      </c>
      <c r="CH320" s="247">
        <f t="shared" si="273"/>
        <v>245.64010195329371</v>
      </c>
      <c r="CI320" s="248">
        <f t="shared" si="274"/>
        <v>4.509926605120425</v>
      </c>
      <c r="CJ320" s="94">
        <f t="shared" si="275"/>
        <v>3.9872974670024125E-2</v>
      </c>
      <c r="CK320" s="249">
        <f t="shared" si="276"/>
        <v>4.5499376027649081</v>
      </c>
      <c r="CL320" s="249">
        <f t="shared" si="277"/>
        <v>4.5498685912776784</v>
      </c>
      <c r="CM320" s="249">
        <f t="shared" si="278"/>
        <v>2793.3194559601479</v>
      </c>
      <c r="CN320" s="265">
        <f t="shared" si="227"/>
        <v>169.51315836743686</v>
      </c>
      <c r="CO320" s="265">
        <f t="shared" si="228"/>
        <v>173.5170714444138</v>
      </c>
      <c r="CP320" s="94">
        <f t="shared" si="279"/>
        <v>0.12024463252882202</v>
      </c>
      <c r="CQ320" s="157">
        <f t="shared" si="229"/>
        <v>15.810184542199742</v>
      </c>
      <c r="CR320" s="285">
        <f t="shared" si="230"/>
        <v>24.506235103915195</v>
      </c>
      <c r="CS320" s="157">
        <f t="shared" si="231"/>
        <v>57.236742477052289</v>
      </c>
      <c r="CT320" s="143">
        <f t="shared" si="232"/>
        <v>539.03943021601276</v>
      </c>
      <c r="CU320" s="247">
        <f t="shared" si="280"/>
        <v>282.89815896900069</v>
      </c>
      <c r="CV320" s="248">
        <f t="shared" si="281"/>
        <v>3.5873131683614186</v>
      </c>
      <c r="CW320" s="94">
        <f t="shared" si="282"/>
        <v>3.1680020406786122E-2</v>
      </c>
      <c r="CX320" s="249">
        <f t="shared" si="283"/>
        <v>4.1078888344147906</v>
      </c>
      <c r="CY320" s="247">
        <f t="shared" si="284"/>
        <v>283.89815896900069</v>
      </c>
      <c r="CZ320" s="248">
        <f t="shared" si="285"/>
        <v>3.5733079549458031</v>
      </c>
      <c r="DA320" s="94">
        <f t="shared" si="286"/>
        <v>3.1615694130692595E-2</v>
      </c>
      <c r="DB320" s="249">
        <f t="shared" si="287"/>
        <v>4.1724473867595631</v>
      </c>
      <c r="DC320" s="247">
        <f t="shared" si="288"/>
        <v>276.68033486842671</v>
      </c>
      <c r="DD320" s="248">
        <f t="shared" si="289"/>
        <v>3.6743951218707136</v>
      </c>
      <c r="DE320" s="94">
        <f t="shared" si="290"/>
        <v>3.207226948734003E-2</v>
      </c>
      <c r="DF320" s="249">
        <f t="shared" si="291"/>
        <v>3.7064751117472987</v>
      </c>
      <c r="DG320" s="283">
        <f t="shared" si="292"/>
        <v>3.7064712515526761</v>
      </c>
      <c r="DH320" s="282">
        <f t="shared" si="293"/>
        <v>2895.5024748776477</v>
      </c>
      <c r="DI320" s="265">
        <f t="shared" si="233"/>
        <v>218.68726539366847</v>
      </c>
      <c r="DJ320" s="265">
        <f t="shared" si="234"/>
        <v>215.29509510096869</v>
      </c>
      <c r="DK320" s="284">
        <f t="shared" si="294"/>
        <v>245.64010195329371</v>
      </c>
      <c r="DL320" s="248">
        <f t="shared" si="295"/>
        <v>4.509926605120425</v>
      </c>
      <c r="DM320" s="94">
        <f t="shared" si="296"/>
        <v>3.9872974670024125E-2</v>
      </c>
      <c r="DN320" s="249">
        <f t="shared" si="297"/>
        <v>4.5499376027649081</v>
      </c>
      <c r="DO320" s="247">
        <f t="shared" si="298"/>
        <v>246.64010195329371</v>
      </c>
      <c r="DP320" s="248">
        <f t="shared" si="299"/>
        <v>4.49592139170481</v>
      </c>
      <c r="DQ320" s="94">
        <f t="shared" si="300"/>
        <v>3.9820724808493836E-2</v>
      </c>
      <c r="DR320" s="249">
        <f t="shared" si="301"/>
        <v>4.6120953568387177</v>
      </c>
      <c r="DS320" s="247">
        <f t="shared" si="302"/>
        <v>245.63829098982399</v>
      </c>
      <c r="DT320" s="248">
        <f t="shared" si="303"/>
        <v>4.5099519680503066</v>
      </c>
      <c r="DU320" s="94">
        <f t="shared" si="304"/>
        <v>3.9873069018894321E-2</v>
      </c>
      <c r="DV320" s="249">
        <f t="shared" si="305"/>
        <v>4.549825037342921</v>
      </c>
      <c r="DW320" s="249">
        <f t="shared" si="306"/>
        <v>4.5498250372060607</v>
      </c>
      <c r="DX320" s="249">
        <f t="shared" si="307"/>
        <v>2793.3244324085808</v>
      </c>
      <c r="DY320" s="265">
        <f t="shared" si="235"/>
        <v>169.51555448088268</v>
      </c>
      <c r="DZ320" s="265">
        <f t="shared" si="236"/>
        <v>173.51915567278931</v>
      </c>
      <c r="EA320" s="94">
        <f t="shared" si="308"/>
        <v>0.10349846247882967</v>
      </c>
      <c r="EB320" s="157">
        <f t="shared" si="237"/>
        <v>14.697545984674985</v>
      </c>
      <c r="EC320" s="285">
        <f t="shared" si="309"/>
        <v>23.057340736049412</v>
      </c>
      <c r="ED320" s="157">
        <f t="shared" si="310"/>
        <v>53.852705987631033</v>
      </c>
      <c r="EE320" s="143">
        <f t="shared" si="238"/>
        <v>540.73144846072341</v>
      </c>
    </row>
    <row r="321" spans="1:135" ht="12" customHeight="1" x14ac:dyDescent="0.2">
      <c r="A321" s="200" t="s">
        <v>442</v>
      </c>
      <c r="B321" s="236">
        <f t="shared" si="239"/>
        <v>223.12778166351384</v>
      </c>
      <c r="C321" s="237">
        <f t="shared" si="240"/>
        <v>4.977114861624778</v>
      </c>
      <c r="D321" s="236">
        <f t="shared" si="241"/>
        <v>2904.7238997756244</v>
      </c>
      <c r="E321" s="236">
        <f t="shared" si="242"/>
        <v>169.51315836743686</v>
      </c>
      <c r="F321" s="237">
        <f t="shared" si="243"/>
        <v>4.9895959239584116</v>
      </c>
      <c r="G321" s="238">
        <f t="shared" si="244"/>
        <v>2793.3244324085808</v>
      </c>
      <c r="H321" s="118">
        <v>0</v>
      </c>
      <c r="I321" s="239">
        <f t="shared" si="245"/>
        <v>513.80509546690791</v>
      </c>
      <c r="J321" s="154">
        <f t="shared" si="311"/>
        <v>6.0645161290322595E-2</v>
      </c>
      <c r="K321" s="149">
        <f t="shared" si="183"/>
        <v>0.22622256864040316</v>
      </c>
      <c r="L321" s="240">
        <f t="shared" si="184"/>
        <v>513.80509546690791</v>
      </c>
      <c r="M321" s="154">
        <f t="shared" si="185"/>
        <v>0.43204050015854728</v>
      </c>
      <c r="N321" s="241">
        <f t="shared" si="186"/>
        <v>513.80509546690791</v>
      </c>
      <c r="O321" s="150">
        <f t="shared" si="187"/>
        <v>0.89280013645735368</v>
      </c>
      <c r="P321" s="150">
        <f t="shared" si="188"/>
        <v>4.9405096647983129</v>
      </c>
      <c r="Q321" s="152">
        <f t="shared" si="189"/>
        <v>3.5804297540070291E-5</v>
      </c>
      <c r="R321" s="152">
        <f t="shared" si="246"/>
        <v>452.28858375596485</v>
      </c>
      <c r="S321" s="153">
        <f t="shared" si="190"/>
        <v>0.14150257667023408</v>
      </c>
      <c r="T321" s="154">
        <f t="shared" si="191"/>
        <v>1.1928172201664693</v>
      </c>
      <c r="U321" s="155">
        <f t="shared" si="192"/>
        <v>0.6884510960061978</v>
      </c>
      <c r="V321" s="154">
        <f t="shared" si="193"/>
        <v>5.5926707324932615E-2</v>
      </c>
      <c r="W321" s="154">
        <f t="shared" si="247"/>
        <v>0.50013406844364749</v>
      </c>
      <c r="X321" s="154">
        <f t="shared" si="248"/>
        <v>0.34565812906705357</v>
      </c>
      <c r="Y321" s="154">
        <f t="shared" si="194"/>
        <v>6.9721645980619034</v>
      </c>
      <c r="Z321" s="154">
        <f t="shared" si="195"/>
        <v>51.396354083063763</v>
      </c>
      <c r="AA321" s="154">
        <f t="shared" si="196"/>
        <v>1.0253116933949458</v>
      </c>
      <c r="AB321" s="1"/>
      <c r="AC321" s="242">
        <f t="shared" si="197"/>
        <v>0.11854550348304403</v>
      </c>
      <c r="AD321" s="263">
        <f t="shared" si="198"/>
        <v>2.2230169316625883</v>
      </c>
      <c r="AE321" s="282">
        <f t="shared" si="199"/>
        <v>223.12778166351384</v>
      </c>
      <c r="AF321" s="243">
        <f t="shared" si="200"/>
        <v>0.33652174148060932</v>
      </c>
      <c r="AG321" s="243">
        <f t="shared" si="201"/>
        <v>20.961183912653002</v>
      </c>
      <c r="AH321" s="264">
        <f t="shared" si="202"/>
        <v>1.7078840469067967E-5</v>
      </c>
      <c r="AI321" s="264">
        <f t="shared" si="203"/>
        <v>12335.419289817099</v>
      </c>
      <c r="AJ321" s="245">
        <f t="shared" si="204"/>
        <v>4.4188845321206635E-2</v>
      </c>
      <c r="AK321" s="264">
        <f t="shared" si="205"/>
        <v>57.893456187548985</v>
      </c>
      <c r="AL321" s="246">
        <f t="shared" si="206"/>
        <v>0.98917774487503607</v>
      </c>
      <c r="AM321" s="263">
        <f t="shared" si="207"/>
        <v>3.7052815302162159E-2</v>
      </c>
      <c r="AN321" s="263">
        <f t="shared" si="249"/>
        <v>1.1606010232460839</v>
      </c>
      <c r="AO321" s="263">
        <f t="shared" si="250"/>
        <v>1.0541204912101385</v>
      </c>
      <c r="AP321" s="235">
        <f t="shared" si="208"/>
        <v>45.253373420782978</v>
      </c>
      <c r="AQ321" s="235">
        <f t="shared" si="209"/>
        <v>370.86722267540608</v>
      </c>
      <c r="AR321" s="263">
        <f t="shared" si="210"/>
        <v>5.2677122512993186</v>
      </c>
      <c r="AT321" s="242">
        <f t="shared" si="211"/>
        <v>0.11707595694436895</v>
      </c>
      <c r="AU321" s="263">
        <f t="shared" si="212"/>
        <v>2.6706150483609128</v>
      </c>
      <c r="AV321" s="282">
        <f t="shared" si="213"/>
        <v>169.51315836743686</v>
      </c>
      <c r="AW321" s="243">
        <f t="shared" si="214"/>
        <v>0.28012031522218694</v>
      </c>
      <c r="AX321" s="243">
        <f t="shared" si="215"/>
        <v>17.448065670909774</v>
      </c>
      <c r="AY321" s="264">
        <f t="shared" si="216"/>
        <v>1.4854196746951686E-5</v>
      </c>
      <c r="AZ321" s="264">
        <f t="shared" si="217"/>
        <v>14182.837467336203</v>
      </c>
      <c r="BA321" s="245">
        <f t="shared" si="218"/>
        <v>4.364105934213644E-2</v>
      </c>
      <c r="BB321" s="264">
        <f t="shared" si="219"/>
        <v>47.593055405018802</v>
      </c>
      <c r="BC321" s="246">
        <f t="shared" si="220"/>
        <v>1.0409164403762927</v>
      </c>
      <c r="BD321" s="263">
        <f t="shared" si="221"/>
        <v>3.2756646847998394E-2</v>
      </c>
      <c r="BE321" s="263">
        <f t="shared" si="251"/>
        <v>1.0594902496132292</v>
      </c>
      <c r="BF321" s="263">
        <f t="shared" si="252"/>
        <v>1.0181528200317274</v>
      </c>
      <c r="BG321" s="235">
        <f t="shared" si="222"/>
        <v>49.878990182857365</v>
      </c>
      <c r="BH321" s="235">
        <f t="shared" si="223"/>
        <v>361.37938302986765</v>
      </c>
      <c r="BI321" s="263">
        <f t="shared" si="224"/>
        <v>5.1329491714600692</v>
      </c>
      <c r="BJ321" s="247">
        <f t="shared" si="312"/>
        <v>282.89815896900069</v>
      </c>
      <c r="BK321" s="248">
        <f t="shared" si="253"/>
        <v>2.8715675761634838</v>
      </c>
      <c r="BL321" s="94">
        <f t="shared" si="254"/>
        <v>2.6864316780273449E-2</v>
      </c>
      <c r="BM321" s="249">
        <f t="shared" si="255"/>
        <v>3.8188639983107371</v>
      </c>
      <c r="BN321" s="247">
        <f t="shared" si="256"/>
        <v>283.89815896900069</v>
      </c>
      <c r="BO321" s="248">
        <f t="shared" si="257"/>
        <v>2.8591315375597257</v>
      </c>
      <c r="BP321" s="94">
        <f t="shared" si="258"/>
        <v>2.6799990504179926E-2</v>
      </c>
      <c r="BQ321" s="249">
        <f t="shared" si="259"/>
        <v>3.8827562501329482</v>
      </c>
      <c r="BR321" s="247">
        <f t="shared" si="260"/>
        <v>270.84945393567608</v>
      </c>
      <c r="BS321" s="248">
        <f t="shared" si="261"/>
        <v>3.0214057370832026</v>
      </c>
      <c r="BT321" s="94">
        <f t="shared" si="262"/>
        <v>2.7612507990868399E-2</v>
      </c>
      <c r="BU321" s="249">
        <f t="shared" si="263"/>
        <v>3.0490451021900187</v>
      </c>
      <c r="BV321" s="283">
        <f t="shared" si="264"/>
        <v>3.0490316736320446</v>
      </c>
      <c r="BW321" s="282">
        <f t="shared" si="265"/>
        <v>2908.7996357025986</v>
      </c>
      <c r="BX321" s="265">
        <f t="shared" si="225"/>
        <v>225.08914892752088</v>
      </c>
      <c r="BY321" s="265">
        <f t="shared" si="226"/>
        <v>222.178435939059</v>
      </c>
      <c r="BZ321" s="284">
        <f t="shared" si="313"/>
        <v>245.64010195329371</v>
      </c>
      <c r="CA321" s="248">
        <f t="shared" si="266"/>
        <v>3.3349102115118345</v>
      </c>
      <c r="CB321" s="94">
        <f t="shared" si="267"/>
        <v>2.9024789037030076E-2</v>
      </c>
      <c r="CC321" s="249">
        <f t="shared" si="268"/>
        <v>4.7394888785099711</v>
      </c>
      <c r="CD321" s="247">
        <f t="shared" si="269"/>
        <v>246.64010195329371</v>
      </c>
      <c r="CE321" s="248">
        <f t="shared" si="270"/>
        <v>3.3224741729080765</v>
      </c>
      <c r="CF321" s="94">
        <f t="shared" si="271"/>
        <v>2.897253917549978E-2</v>
      </c>
      <c r="CG321" s="249">
        <f t="shared" si="272"/>
        <v>4.8017465845896155</v>
      </c>
      <c r="CH321" s="247">
        <f t="shared" si="273"/>
        <v>227.23705726393302</v>
      </c>
      <c r="CI321" s="248">
        <f t="shared" si="274"/>
        <v>3.5637711856954084</v>
      </c>
      <c r="CJ321" s="94">
        <f t="shared" si="275"/>
        <v>2.9933734530356124E-2</v>
      </c>
      <c r="CK321" s="249">
        <f t="shared" si="276"/>
        <v>3.593757531269187</v>
      </c>
      <c r="CL321" s="249">
        <f t="shared" si="277"/>
        <v>3.5937312257474758</v>
      </c>
      <c r="CM321" s="249">
        <f t="shared" si="278"/>
        <v>2788.5156031188226</v>
      </c>
      <c r="CN321" s="265">
        <f t="shared" si="227"/>
        <v>167.20146915183946</v>
      </c>
      <c r="CO321" s="265">
        <f t="shared" si="228"/>
        <v>170.35927029812663</v>
      </c>
      <c r="CP321" s="94">
        <f t="shared" si="279"/>
        <v>9.0130069211630498E-2</v>
      </c>
      <c r="CQ321" s="157">
        <f t="shared" si="229"/>
        <v>12.179649826962702</v>
      </c>
      <c r="CR321" s="285">
        <f t="shared" si="230"/>
        <v>18.912569101075565</v>
      </c>
      <c r="CS321" s="157">
        <f t="shared" si="231"/>
        <v>44.172180778791919</v>
      </c>
      <c r="CT321" s="143">
        <f t="shared" si="232"/>
        <v>491.71900507751195</v>
      </c>
      <c r="CU321" s="247">
        <f t="shared" si="280"/>
        <v>270.84945393567608</v>
      </c>
      <c r="CV321" s="248">
        <f t="shared" si="281"/>
        <v>2.7467422643945847</v>
      </c>
      <c r="CW321" s="94">
        <f t="shared" si="282"/>
        <v>2.3761065310314522E-2</v>
      </c>
      <c r="CX321" s="249">
        <f t="shared" si="283"/>
        <v>3.1097009382832272</v>
      </c>
      <c r="CY321" s="247">
        <f t="shared" si="284"/>
        <v>271.84945393567608</v>
      </c>
      <c r="CZ321" s="248">
        <f t="shared" si="285"/>
        <v>2.7343062257908266</v>
      </c>
      <c r="DA321" s="94">
        <f t="shared" si="286"/>
        <v>2.370082811425717E-2</v>
      </c>
      <c r="DB321" s="249">
        <f t="shared" si="287"/>
        <v>3.1735931901054379</v>
      </c>
      <c r="DC321" s="247">
        <f t="shared" si="288"/>
        <v>266.40902787776469</v>
      </c>
      <c r="DD321" s="248">
        <f t="shared" si="289"/>
        <v>2.8019635742679041</v>
      </c>
      <c r="DE321" s="94">
        <f t="shared" si="290"/>
        <v>2.4024558414774289E-2</v>
      </c>
      <c r="DF321" s="249">
        <f t="shared" si="291"/>
        <v>2.8259921183932439</v>
      </c>
      <c r="DG321" s="283">
        <f t="shared" si="292"/>
        <v>2.8259901255379614</v>
      </c>
      <c r="DH321" s="282">
        <f t="shared" si="293"/>
        <v>2899.2800641967542</v>
      </c>
      <c r="DI321" s="265">
        <f t="shared" si="233"/>
        <v>220.50503685982051</v>
      </c>
      <c r="DJ321" s="265">
        <f t="shared" si="234"/>
        <v>217.9000659803946</v>
      </c>
      <c r="DK321" s="284">
        <f t="shared" si="294"/>
        <v>227.23705726393302</v>
      </c>
      <c r="DL321" s="248">
        <f t="shared" si="295"/>
        <v>3.5637711856954084</v>
      </c>
      <c r="DM321" s="94">
        <f t="shared" si="296"/>
        <v>2.9933734530356124E-2</v>
      </c>
      <c r="DN321" s="249">
        <f t="shared" si="297"/>
        <v>3.593757531269187</v>
      </c>
      <c r="DO321" s="247">
        <f t="shared" si="298"/>
        <v>228.23705726393302</v>
      </c>
      <c r="DP321" s="248">
        <f t="shared" si="299"/>
        <v>3.5513351470916508</v>
      </c>
      <c r="DQ321" s="94">
        <f t="shared" si="300"/>
        <v>2.9886846645915954E-2</v>
      </c>
      <c r="DR321" s="249">
        <f t="shared" si="301"/>
        <v>3.6560152373488313</v>
      </c>
      <c r="DS321" s="247">
        <f t="shared" si="302"/>
        <v>227.23635334905279</v>
      </c>
      <c r="DT321" s="248">
        <f t="shared" si="303"/>
        <v>3.563779939608033</v>
      </c>
      <c r="DU321" s="94">
        <f t="shared" si="304"/>
        <v>2.9933767436562609E-2</v>
      </c>
      <c r="DV321" s="249">
        <f t="shared" si="305"/>
        <v>3.5937137071434679</v>
      </c>
      <c r="DW321" s="249">
        <f t="shared" si="306"/>
        <v>3.5937137070940315</v>
      </c>
      <c r="DX321" s="249">
        <f t="shared" si="307"/>
        <v>2788.5206029849869</v>
      </c>
      <c r="DY321" s="265">
        <f t="shared" si="235"/>
        <v>167.20387652971755</v>
      </c>
      <c r="DZ321" s="265">
        <f t="shared" si="236"/>
        <v>170.36151610125341</v>
      </c>
      <c r="EA321" s="94">
        <f t="shared" si="308"/>
        <v>7.9438464330412933E-2</v>
      </c>
      <c r="EB321" s="157">
        <f t="shared" si="237"/>
        <v>11.417184026779099</v>
      </c>
      <c r="EC321" s="285">
        <f t="shared" si="309"/>
        <v>17.91632632379094</v>
      </c>
      <c r="ED321" s="157">
        <f t="shared" si="310"/>
        <v>41.845356970635706</v>
      </c>
      <c r="EE321" s="143">
        <f t="shared" si="238"/>
        <v>492.88241698159004</v>
      </c>
    </row>
    <row r="322" spans="1:135" ht="12" customHeight="1" x14ac:dyDescent="0.2">
      <c r="A322" s="200" t="s">
        <v>442</v>
      </c>
      <c r="B322" s="236">
        <f t="shared" si="239"/>
        <v>225.08914892752088</v>
      </c>
      <c r="C322" s="237">
        <f t="shared" si="240"/>
        <v>4.9765359270629022</v>
      </c>
      <c r="D322" s="236">
        <f t="shared" si="241"/>
        <v>2908.7996357025986</v>
      </c>
      <c r="E322" s="236">
        <f t="shared" si="242"/>
        <v>167.20146915183946</v>
      </c>
      <c r="F322" s="237">
        <f t="shared" si="243"/>
        <v>4.990071854512462</v>
      </c>
      <c r="G322" s="238">
        <f t="shared" si="244"/>
        <v>2788.5206029849869</v>
      </c>
      <c r="H322" s="118">
        <v>0</v>
      </c>
      <c r="I322" s="239">
        <f t="shared" si="245"/>
        <v>471.95973849627222</v>
      </c>
      <c r="J322" s="154">
        <f t="shared" si="311"/>
        <v>7.2774193548387114E-2</v>
      </c>
      <c r="K322" s="149">
        <f t="shared" si="183"/>
        <v>0.21843145018877044</v>
      </c>
      <c r="L322" s="240">
        <f t="shared" si="184"/>
        <v>471.95973849627222</v>
      </c>
      <c r="M322" s="154">
        <f t="shared" si="185"/>
        <v>0.45536695212793277</v>
      </c>
      <c r="N322" s="241">
        <f t="shared" si="186"/>
        <v>471.95973849627222</v>
      </c>
      <c r="O322" s="150">
        <f t="shared" si="187"/>
        <v>0.84706590079529287</v>
      </c>
      <c r="P322" s="150">
        <f t="shared" si="188"/>
        <v>4.6874290210193479</v>
      </c>
      <c r="Q322" s="152">
        <f t="shared" si="189"/>
        <v>3.4571195445576761E-5</v>
      </c>
      <c r="R322" s="152">
        <f t="shared" si="246"/>
        <v>468.42103138344055</v>
      </c>
      <c r="S322" s="153">
        <f t="shared" si="190"/>
        <v>0.13662921968081065</v>
      </c>
      <c r="T322" s="154">
        <f t="shared" si="191"/>
        <v>1.0927381142444526</v>
      </c>
      <c r="U322" s="155">
        <f t="shared" si="192"/>
        <v>0.68641606017120993</v>
      </c>
      <c r="V322" s="154">
        <f t="shared" si="193"/>
        <v>5.3831552146769851E-2</v>
      </c>
      <c r="W322" s="154">
        <f t="shared" si="247"/>
        <v>0.47064420627918319</v>
      </c>
      <c r="X322" s="154">
        <f t="shared" si="248"/>
        <v>0.32319489545686159</v>
      </c>
      <c r="Y322" s="154">
        <f t="shared" si="194"/>
        <v>6.5891642950129183</v>
      </c>
      <c r="Z322" s="154">
        <f t="shared" si="195"/>
        <v>46.75334289239823</v>
      </c>
      <c r="AA322" s="154">
        <f t="shared" si="196"/>
        <v>0.93268773686567008</v>
      </c>
      <c r="AB322" s="1"/>
      <c r="AC322" s="242">
        <f t="shared" si="197"/>
        <v>0.11859847756369148</v>
      </c>
      <c r="AD322" s="263">
        <f t="shared" si="198"/>
        <v>2.213135256638656</v>
      </c>
      <c r="AE322" s="282">
        <f t="shared" si="199"/>
        <v>225.08914892752088</v>
      </c>
      <c r="AF322" s="243">
        <f t="shared" si="200"/>
        <v>0.33802431502545893</v>
      </c>
      <c r="AG322" s="243">
        <f t="shared" si="201"/>
        <v>21.054775846051736</v>
      </c>
      <c r="AH322" s="264">
        <f t="shared" si="202"/>
        <v>1.716025202827515E-5</v>
      </c>
      <c r="AI322" s="264">
        <f t="shared" si="203"/>
        <v>12276.897671591232</v>
      </c>
      <c r="AJ322" s="245">
        <f t="shared" si="204"/>
        <v>4.4208591860611206E-2</v>
      </c>
      <c r="AK322" s="264">
        <f t="shared" si="205"/>
        <v>58.177937343715712</v>
      </c>
      <c r="AL322" s="246">
        <f t="shared" si="206"/>
        <v>0.98758692011976046</v>
      </c>
      <c r="AM322" s="263">
        <f t="shared" si="207"/>
        <v>3.7219682157032058E-2</v>
      </c>
      <c r="AN322" s="263">
        <f t="shared" si="249"/>
        <v>1.1416264840524917</v>
      </c>
      <c r="AO322" s="263">
        <f t="shared" si="250"/>
        <v>1.0467537880845297</v>
      </c>
      <c r="AP322" s="235">
        <f t="shared" si="208"/>
        <v>44.73767577962002</v>
      </c>
      <c r="AQ322" s="235">
        <f t="shared" si="209"/>
        <v>368.29206249708233</v>
      </c>
      <c r="AR322" s="263">
        <f t="shared" si="210"/>
        <v>5.231135271747025</v>
      </c>
      <c r="AT322" s="242">
        <f t="shared" si="211"/>
        <v>0.11701161959780867</v>
      </c>
      <c r="AU322" s="263">
        <f t="shared" si="212"/>
        <v>2.670855034029243</v>
      </c>
      <c r="AV322" s="282">
        <f t="shared" si="213"/>
        <v>167.20146915183946</v>
      </c>
      <c r="AW322" s="243">
        <f t="shared" si="214"/>
        <v>0.28009514543191188</v>
      </c>
      <c r="AX322" s="243">
        <f t="shared" si="215"/>
        <v>17.446497901170211</v>
      </c>
      <c r="AY322" s="264">
        <f t="shared" si="216"/>
        <v>1.4758310632901918E-5</v>
      </c>
      <c r="AZ322" s="264">
        <f t="shared" si="217"/>
        <v>14274.984678813815</v>
      </c>
      <c r="BA322" s="245">
        <f t="shared" si="218"/>
        <v>4.3617077048654217E-2</v>
      </c>
      <c r="BB322" s="264">
        <f t="shared" si="219"/>
        <v>47.562627298532711</v>
      </c>
      <c r="BC322" s="246">
        <f t="shared" si="220"/>
        <v>1.0435064320982568</v>
      </c>
      <c r="BD322" s="263">
        <f t="shared" si="221"/>
        <v>3.2582945807296697E-2</v>
      </c>
      <c r="BE322" s="263">
        <f t="shared" si="251"/>
        <v>1.0615571210923045</v>
      </c>
      <c r="BF322" s="263">
        <f t="shared" si="252"/>
        <v>1.0187997887723783</v>
      </c>
      <c r="BG322" s="235">
        <f t="shared" si="222"/>
        <v>50.219831943679111</v>
      </c>
      <c r="BH322" s="235">
        <f t="shared" si="223"/>
        <v>361.91941579059636</v>
      </c>
      <c r="BI322" s="263">
        <f t="shared" si="224"/>
        <v>5.140619671886804</v>
      </c>
      <c r="BJ322" s="247">
        <f t="shared" si="312"/>
        <v>270.84945393567608</v>
      </c>
      <c r="BK322" s="248">
        <f t="shared" si="253"/>
        <v>2.2750801341574114</v>
      </c>
      <c r="BL322" s="94">
        <f t="shared" si="254"/>
        <v>2.0586824640364956E-2</v>
      </c>
      <c r="BM322" s="249">
        <f t="shared" si="255"/>
        <v>2.9034276753499224</v>
      </c>
      <c r="BN322" s="247">
        <f t="shared" si="256"/>
        <v>271.84945393567608</v>
      </c>
      <c r="BO322" s="248">
        <f t="shared" si="257"/>
        <v>2.2637675345102664</v>
      </c>
      <c r="BP322" s="94">
        <f t="shared" si="258"/>
        <v>2.0526587444307607E-2</v>
      </c>
      <c r="BQ322" s="249">
        <f t="shared" si="259"/>
        <v>2.9668762838072413</v>
      </c>
      <c r="BR322" s="247">
        <f t="shared" si="260"/>
        <v>262.72663949242298</v>
      </c>
      <c r="BS322" s="248">
        <f t="shared" si="261"/>
        <v>2.3669702819619798</v>
      </c>
      <c r="BT322" s="94">
        <f t="shared" si="262"/>
        <v>2.1063949355887835E-2</v>
      </c>
      <c r="BU322" s="249">
        <f t="shared" si="263"/>
        <v>2.3880464021685026</v>
      </c>
      <c r="BV322" s="283">
        <f t="shared" si="264"/>
        <v>2.3880403167431852</v>
      </c>
      <c r="BW322" s="282">
        <f t="shared" si="265"/>
        <v>2911.9918038254109</v>
      </c>
      <c r="BX322" s="265">
        <f t="shared" si="225"/>
        <v>226.62504864885213</v>
      </c>
      <c r="BY322" s="265">
        <f t="shared" si="226"/>
        <v>224.40174229395558</v>
      </c>
      <c r="BZ322" s="284">
        <f t="shared" si="313"/>
        <v>227.23705726393302</v>
      </c>
      <c r="CA322" s="248">
        <f t="shared" si="266"/>
        <v>2.7684497173573153</v>
      </c>
      <c r="CB322" s="94">
        <f t="shared" si="267"/>
        <v>2.2908051179852673E-2</v>
      </c>
      <c r="CC322" s="249">
        <f t="shared" si="268"/>
        <v>3.7432634547946129</v>
      </c>
      <c r="CD322" s="247">
        <f t="shared" si="269"/>
        <v>228.23705726393302</v>
      </c>
      <c r="CE322" s="248">
        <f t="shared" si="270"/>
        <v>2.7571371177101707</v>
      </c>
      <c r="CF322" s="94">
        <f t="shared" si="271"/>
        <v>2.2861163295412504E-2</v>
      </c>
      <c r="CG322" s="249">
        <f t="shared" si="272"/>
        <v>3.8056141966213688</v>
      </c>
      <c r="CH322" s="247">
        <f t="shared" si="273"/>
        <v>214.32289739027723</v>
      </c>
      <c r="CI322" s="248">
        <f t="shared" si="274"/>
        <v>2.9145424377872069</v>
      </c>
      <c r="CJ322" s="94">
        <f t="shared" si="275"/>
        <v>2.3488777956244319E-2</v>
      </c>
      <c r="CK322" s="249">
        <f t="shared" si="276"/>
        <v>2.9380560066028476</v>
      </c>
      <c r="CL322" s="249">
        <f t="shared" si="277"/>
        <v>2.9380436111731494</v>
      </c>
      <c r="CM322" s="249">
        <f t="shared" si="278"/>
        <v>2784.5882284035542</v>
      </c>
      <c r="CN322" s="265">
        <f t="shared" si="227"/>
        <v>165.3118121738369</v>
      </c>
      <c r="CO322" s="265">
        <f t="shared" si="228"/>
        <v>167.83554123598176</v>
      </c>
      <c r="CP322" s="94">
        <f t="shared" si="279"/>
        <v>7.0626772230632948E-2</v>
      </c>
      <c r="CQ322" s="157">
        <f t="shared" si="229"/>
        <v>9.765270113912031</v>
      </c>
      <c r="CR322" s="285">
        <f t="shared" si="230"/>
        <v>15.161993209488696</v>
      </c>
      <c r="CS322" s="157">
        <f t="shared" si="231"/>
        <v>35.412338822770614</v>
      </c>
      <c r="CT322" s="143">
        <f t="shared" si="232"/>
        <v>454.25356908488692</v>
      </c>
      <c r="CU322" s="247">
        <f t="shared" si="280"/>
        <v>262.72663949242298</v>
      </c>
      <c r="CV322" s="248">
        <f t="shared" si="281"/>
        <v>2.1666674761264546</v>
      </c>
      <c r="CW322" s="94">
        <f t="shared" si="282"/>
        <v>1.8426156626814905E-2</v>
      </c>
      <c r="CX322" s="249">
        <f t="shared" si="283"/>
        <v>2.4316613965125509</v>
      </c>
      <c r="CY322" s="247">
        <f t="shared" si="284"/>
        <v>263.72663949242298</v>
      </c>
      <c r="CZ322" s="248">
        <f t="shared" si="285"/>
        <v>2.1553548764793096</v>
      </c>
      <c r="DA322" s="94">
        <f t="shared" si="286"/>
        <v>1.8368575979670832E-2</v>
      </c>
      <c r="DB322" s="249">
        <f t="shared" si="287"/>
        <v>2.4951100049698698</v>
      </c>
      <c r="DC322" s="247">
        <f t="shared" si="288"/>
        <v>259.43110680774043</v>
      </c>
      <c r="DD322" s="248">
        <f t="shared" si="289"/>
        <v>2.203948518012349</v>
      </c>
      <c r="DE322" s="94">
        <f t="shared" si="290"/>
        <v>1.861364613076056E-2</v>
      </c>
      <c r="DF322" s="249">
        <f t="shared" si="291"/>
        <v>2.2225644335438317</v>
      </c>
      <c r="DG322" s="283">
        <f t="shared" si="292"/>
        <v>2.2225632988434709</v>
      </c>
      <c r="DH322" s="282">
        <f t="shared" si="293"/>
        <v>2902.2510340182253</v>
      </c>
      <c r="DI322" s="265">
        <f t="shared" si="233"/>
        <v>221.93439338981776</v>
      </c>
      <c r="DJ322" s="265">
        <f t="shared" si="234"/>
        <v>219.91722968510618</v>
      </c>
      <c r="DK322" s="284">
        <f t="shared" si="294"/>
        <v>214.32289739027723</v>
      </c>
      <c r="DL322" s="248">
        <f t="shared" si="295"/>
        <v>2.9145424377872069</v>
      </c>
      <c r="DM322" s="94">
        <f t="shared" si="296"/>
        <v>2.3488777956244319E-2</v>
      </c>
      <c r="DN322" s="249">
        <f t="shared" si="297"/>
        <v>2.9380560066028476</v>
      </c>
      <c r="DO322" s="247">
        <f t="shared" si="298"/>
        <v>215.32289739027723</v>
      </c>
      <c r="DP322" s="248">
        <f t="shared" si="299"/>
        <v>2.9032298381400623</v>
      </c>
      <c r="DQ322" s="94">
        <f t="shared" si="300"/>
        <v>2.3445425070914919E-2</v>
      </c>
      <c r="DR322" s="249">
        <f t="shared" si="301"/>
        <v>3.0004067484296035</v>
      </c>
      <c r="DS322" s="247">
        <f t="shared" si="302"/>
        <v>214.32256104553119</v>
      </c>
      <c r="DT322" s="248">
        <f t="shared" si="303"/>
        <v>2.9145462427206623</v>
      </c>
      <c r="DU322" s="94">
        <f t="shared" si="304"/>
        <v>2.3488792492938646E-2</v>
      </c>
      <c r="DV322" s="249">
        <f t="shared" si="305"/>
        <v>2.9380350352584221</v>
      </c>
      <c r="DW322" s="249">
        <f t="shared" si="306"/>
        <v>2.9380350352360116</v>
      </c>
      <c r="DX322" s="249">
        <f t="shared" si="307"/>
        <v>2784.5932397334414</v>
      </c>
      <c r="DY322" s="265">
        <f t="shared" si="235"/>
        <v>165.31422506036202</v>
      </c>
      <c r="DZ322" s="265">
        <f t="shared" si="236"/>
        <v>167.8378705808077</v>
      </c>
      <c r="EA322" s="94">
        <f t="shared" si="308"/>
        <v>6.3304259614726507E-2</v>
      </c>
      <c r="EB322" s="157">
        <f t="shared" si="237"/>
        <v>9.2092295249126135</v>
      </c>
      <c r="EC322" s="285">
        <f t="shared" si="309"/>
        <v>14.433132118629235</v>
      </c>
      <c r="ED322" s="157">
        <f t="shared" si="310"/>
        <v>33.710011460686282</v>
      </c>
      <c r="EE322" s="143">
        <f t="shared" si="238"/>
        <v>455.1047327659291</v>
      </c>
    </row>
    <row r="323" spans="1:135" ht="12" customHeight="1" x14ac:dyDescent="0.2">
      <c r="A323" s="200" t="s">
        <v>442</v>
      </c>
      <c r="B323" s="236">
        <f t="shared" si="239"/>
        <v>226.62504864885213</v>
      </c>
      <c r="C323" s="237">
        <f t="shared" si="240"/>
        <v>4.9759541476894649</v>
      </c>
      <c r="D323" s="236">
        <f t="shared" si="241"/>
        <v>2911.9918038254109</v>
      </c>
      <c r="E323" s="236">
        <f t="shared" si="242"/>
        <v>165.3118121738369</v>
      </c>
      <c r="F323" s="237">
        <f t="shared" si="243"/>
        <v>4.9905474807854473</v>
      </c>
      <c r="G323" s="238">
        <f t="shared" si="244"/>
        <v>2784.5932397334414</v>
      </c>
      <c r="H323" s="118">
        <v>0</v>
      </c>
      <c r="I323" s="239">
        <f t="shared" si="245"/>
        <v>438.24972703558592</v>
      </c>
      <c r="J323" s="154">
        <f t="shared" si="311"/>
        <v>8.4903225806451627E-2</v>
      </c>
      <c r="K323" s="149">
        <f t="shared" si="183"/>
        <v>0.21201319217207767</v>
      </c>
      <c r="L323" s="240">
        <f t="shared" si="184"/>
        <v>438.24972703558592</v>
      </c>
      <c r="M323" s="154">
        <f t="shared" si="185"/>
        <v>0.47674151258601505</v>
      </c>
      <c r="N323" s="241">
        <f t="shared" si="186"/>
        <v>438.24972703558592</v>
      </c>
      <c r="O323" s="150">
        <f t="shared" si="187"/>
        <v>0.80908795922624976</v>
      </c>
      <c r="P323" s="150">
        <f t="shared" si="188"/>
        <v>4.4772695690780386</v>
      </c>
      <c r="Q323" s="152">
        <f t="shared" si="189"/>
        <v>3.3555376285270561E-5</v>
      </c>
      <c r="R323" s="152">
        <f t="shared" si="246"/>
        <v>482.60150293364518</v>
      </c>
      <c r="S323" s="153">
        <f t="shared" si="190"/>
        <v>0.13261458907806098</v>
      </c>
      <c r="T323" s="154">
        <f t="shared" si="191"/>
        <v>1.0130767444587943</v>
      </c>
      <c r="U323" s="155">
        <f t="shared" si="192"/>
        <v>0.68497472174028451</v>
      </c>
      <c r="V323" s="154">
        <f t="shared" si="193"/>
        <v>5.214372558294475E-2</v>
      </c>
      <c r="W323" s="154">
        <f t="shared" si="247"/>
        <v>0.44707166194640319</v>
      </c>
      <c r="X323" s="154">
        <f t="shared" si="248"/>
        <v>0.30563639594972325</v>
      </c>
      <c r="Y323" s="154">
        <f t="shared" si="194"/>
        <v>6.2890348898906101</v>
      </c>
      <c r="Z323" s="154">
        <f t="shared" si="195"/>
        <v>43.224650626279328</v>
      </c>
      <c r="AA323" s="154">
        <f t="shared" si="196"/>
        <v>0.86229345487055409</v>
      </c>
      <c r="AB323" s="1"/>
      <c r="AC323" s="242">
        <f t="shared" si="197"/>
        <v>0.11863992322208267</v>
      </c>
      <c r="AD323" s="263">
        <f t="shared" si="198"/>
        <v>2.2054055304969875</v>
      </c>
      <c r="AE323" s="282">
        <f t="shared" si="199"/>
        <v>226.62504864885213</v>
      </c>
      <c r="AF323" s="243">
        <f t="shared" si="200"/>
        <v>0.33920905649284022</v>
      </c>
      <c r="AG323" s="243">
        <f t="shared" si="201"/>
        <v>21.128570732757911</v>
      </c>
      <c r="AH323" s="264">
        <f t="shared" si="202"/>
        <v>1.7224004854950053E-5</v>
      </c>
      <c r="AI323" s="264">
        <f t="shared" si="203"/>
        <v>12231.456037316637</v>
      </c>
      <c r="AJ323" s="245">
        <f t="shared" si="204"/>
        <v>4.4224041082505557E-2</v>
      </c>
      <c r="AK323" s="264">
        <f t="shared" si="205"/>
        <v>58.402247439190973</v>
      </c>
      <c r="AL323" s="246">
        <f t="shared" si="206"/>
        <v>0.98635496609520368</v>
      </c>
      <c r="AM323" s="263">
        <f t="shared" si="207"/>
        <v>3.7350786470788704E-2</v>
      </c>
      <c r="AN323" s="263">
        <f t="shared" si="249"/>
        <v>1.1273124783312958</v>
      </c>
      <c r="AO323" s="263">
        <f t="shared" si="250"/>
        <v>1.0414284440041206</v>
      </c>
      <c r="AP323" s="235">
        <f t="shared" si="208"/>
        <v>44.356073285000981</v>
      </c>
      <c r="AQ323" s="235">
        <f t="shared" si="209"/>
        <v>366.43683578490823</v>
      </c>
      <c r="AR323" s="263">
        <f t="shared" si="210"/>
        <v>5.204784060631205</v>
      </c>
      <c r="AT323" s="242">
        <f t="shared" si="211"/>
        <v>0.11695896523312345</v>
      </c>
      <c r="AU323" s="263">
        <f t="shared" si="212"/>
        <v>2.6710948649413409</v>
      </c>
      <c r="AV323" s="282">
        <f t="shared" si="213"/>
        <v>165.3118121738369</v>
      </c>
      <c r="AW323" s="243">
        <f t="shared" si="214"/>
        <v>0.28006999639093821</v>
      </c>
      <c r="AX323" s="243">
        <f t="shared" si="215"/>
        <v>17.444931423858055</v>
      </c>
      <c r="AY323" s="264">
        <f t="shared" si="216"/>
        <v>1.4679931959953362E-5</v>
      </c>
      <c r="AZ323" s="264">
        <f t="shared" si="217"/>
        <v>14351.20126881836</v>
      </c>
      <c r="BA323" s="245">
        <f t="shared" si="218"/>
        <v>4.3597449686095573E-2</v>
      </c>
      <c r="BB323" s="264">
        <f t="shared" si="219"/>
        <v>47.536955860129666</v>
      </c>
      <c r="BC323" s="246">
        <f t="shared" si="220"/>
        <v>1.0456474293543834</v>
      </c>
      <c r="BD323" s="263">
        <f t="shared" si="221"/>
        <v>3.2441713890393506E-2</v>
      </c>
      <c r="BE323" s="263">
        <f t="shared" si="251"/>
        <v>1.0638075070038795</v>
      </c>
      <c r="BF323" s="263">
        <f t="shared" si="252"/>
        <v>1.0195057780841512</v>
      </c>
      <c r="BG323" s="235">
        <f t="shared" si="222"/>
        <v>50.51056673376889</v>
      </c>
      <c r="BH323" s="235">
        <f t="shared" si="223"/>
        <v>362.43682084812849</v>
      </c>
      <c r="BI323" s="263">
        <f t="shared" si="224"/>
        <v>5.1479687736509998</v>
      </c>
      <c r="BJ323" s="247">
        <f t="shared" si="312"/>
        <v>262.72663949242298</v>
      </c>
      <c r="BK323" s="248">
        <f t="shared" si="253"/>
        <v>1.8357582579756413</v>
      </c>
      <c r="BL323" s="94">
        <f t="shared" si="254"/>
        <v>1.6202070449437393E-2</v>
      </c>
      <c r="BM323" s="249">
        <f t="shared" si="255"/>
        <v>2.279057103366247</v>
      </c>
      <c r="BN323" s="247">
        <f t="shared" si="256"/>
        <v>263.72663949242298</v>
      </c>
      <c r="BO323" s="248">
        <f t="shared" si="257"/>
        <v>1.8252994728455985</v>
      </c>
      <c r="BP323" s="94">
        <f t="shared" si="258"/>
        <v>1.6144489802293317E-2</v>
      </c>
      <c r="BQ323" s="249">
        <f t="shared" si="259"/>
        <v>2.342186097133903</v>
      </c>
      <c r="BR323" s="247">
        <f t="shared" si="260"/>
        <v>256.92726832252453</v>
      </c>
      <c r="BS323" s="248">
        <f t="shared" si="261"/>
        <v>1.8964126349309745</v>
      </c>
      <c r="BT323" s="94">
        <f t="shared" si="262"/>
        <v>1.6529700201064687E-2</v>
      </c>
      <c r="BU323" s="249">
        <f t="shared" si="263"/>
        <v>1.9129486369254045</v>
      </c>
      <c r="BV323" s="283">
        <f t="shared" si="264"/>
        <v>1.9129454860287218</v>
      </c>
      <c r="BW323" s="282">
        <f t="shared" si="265"/>
        <v>2914.5488978402668</v>
      </c>
      <c r="BX323" s="265">
        <f t="shared" si="225"/>
        <v>227.85513835213712</v>
      </c>
      <c r="BY323" s="265">
        <f t="shared" si="226"/>
        <v>226.12844032304633</v>
      </c>
      <c r="BZ323" s="284">
        <f t="shared" si="313"/>
        <v>214.32289739027723</v>
      </c>
      <c r="CA323" s="248">
        <f t="shared" si="266"/>
        <v>2.3420025961119921</v>
      </c>
      <c r="CB323" s="94">
        <f t="shared" si="267"/>
        <v>1.8626899049793876E-2</v>
      </c>
      <c r="CC323" s="249">
        <f t="shared" si="268"/>
        <v>3.0602462462137283</v>
      </c>
      <c r="CD323" s="247">
        <f t="shared" si="269"/>
        <v>215.32289739027723</v>
      </c>
      <c r="CE323" s="248">
        <f t="shared" si="270"/>
        <v>2.3315438109819491</v>
      </c>
      <c r="CF323" s="94">
        <f t="shared" si="271"/>
        <v>1.858354616446448E-2</v>
      </c>
      <c r="CG323" s="249">
        <f t="shared" si="272"/>
        <v>3.1226861255328497</v>
      </c>
      <c r="CH323" s="247">
        <f t="shared" si="273"/>
        <v>204.73148798568576</v>
      </c>
      <c r="CI323" s="248">
        <f t="shared" si="274"/>
        <v>2.4423170861688868</v>
      </c>
      <c r="CJ323" s="94">
        <f t="shared" si="275"/>
        <v>1.9029358112368742E-2</v>
      </c>
      <c r="CK323" s="249">
        <f t="shared" si="276"/>
        <v>2.4613598004907469</v>
      </c>
      <c r="CL323" s="249">
        <f t="shared" si="277"/>
        <v>2.4613531223860012</v>
      </c>
      <c r="CM323" s="249">
        <f t="shared" si="278"/>
        <v>2781.2980607622558</v>
      </c>
      <c r="CN323" s="265">
        <f t="shared" si="227"/>
        <v>163.72897663290752</v>
      </c>
      <c r="CO323" s="265">
        <f t="shared" si="228"/>
        <v>165.78225893444466</v>
      </c>
      <c r="CP323" s="94">
        <f t="shared" si="279"/>
        <v>5.7130196386326527E-2</v>
      </c>
      <c r="CQ323" s="157">
        <f t="shared" si="229"/>
        <v>8.0495171861693535</v>
      </c>
      <c r="CR323" s="285">
        <f t="shared" si="230"/>
        <v>12.480952669075149</v>
      </c>
      <c r="CS323" s="157">
        <f t="shared" si="231"/>
        <v>29.1505027499717</v>
      </c>
      <c r="CT323" s="143">
        <f t="shared" si="232"/>
        <v>423.67447566060008</v>
      </c>
      <c r="CU323" s="247">
        <f t="shared" si="280"/>
        <v>256.92726832252453</v>
      </c>
      <c r="CV323" s="248">
        <f t="shared" si="281"/>
        <v>1.743973212583636</v>
      </c>
      <c r="CW323" s="94">
        <f t="shared" si="282"/>
        <v>1.4630628167225405E-2</v>
      </c>
      <c r="CX323" s="249">
        <f t="shared" si="283"/>
        <v>1.9442990208301645</v>
      </c>
      <c r="CY323" s="247">
        <f t="shared" si="284"/>
        <v>257.92726832252453</v>
      </c>
      <c r="CZ323" s="248">
        <f t="shared" si="285"/>
        <v>1.7335144274535932</v>
      </c>
      <c r="DA323" s="94">
        <f t="shared" si="286"/>
        <v>1.4574895616560076E-2</v>
      </c>
      <c r="DB323" s="249">
        <f t="shared" si="287"/>
        <v>2.0074280145978203</v>
      </c>
      <c r="DC323" s="247">
        <f t="shared" si="288"/>
        <v>254.40572669004132</v>
      </c>
      <c r="DD323" s="248">
        <f t="shared" si="289"/>
        <v>1.7703454747142351</v>
      </c>
      <c r="DE323" s="94">
        <f t="shared" si="290"/>
        <v>1.476976592094837E-2</v>
      </c>
      <c r="DF323" s="249">
        <f t="shared" si="291"/>
        <v>1.7851166348282475</v>
      </c>
      <c r="DG323" s="283">
        <f t="shared" si="292"/>
        <v>1.7851159377317156</v>
      </c>
      <c r="DH323" s="282">
        <f t="shared" si="293"/>
        <v>2904.6372542809227</v>
      </c>
      <c r="DI323" s="265">
        <f t="shared" si="233"/>
        <v>223.08217244630404</v>
      </c>
      <c r="DJ323" s="265">
        <f t="shared" si="234"/>
        <v>221.4997010657051</v>
      </c>
      <c r="DK323" s="284">
        <f t="shared" si="294"/>
        <v>204.73148798568576</v>
      </c>
      <c r="DL323" s="248">
        <f t="shared" si="295"/>
        <v>2.4423170861688868</v>
      </c>
      <c r="DM323" s="94">
        <f t="shared" si="296"/>
        <v>1.9029358112368742E-2</v>
      </c>
      <c r="DN323" s="249">
        <f t="shared" si="297"/>
        <v>2.4613598004907469</v>
      </c>
      <c r="DO323" s="247">
        <f t="shared" si="298"/>
        <v>205.73148798568576</v>
      </c>
      <c r="DP323" s="248">
        <f t="shared" si="299"/>
        <v>2.4318583010388433</v>
      </c>
      <c r="DQ323" s="94">
        <f t="shared" si="300"/>
        <v>1.8988512446076657E-2</v>
      </c>
      <c r="DR323" s="249">
        <f t="shared" si="301"/>
        <v>2.5237996798098687</v>
      </c>
      <c r="DS323" s="247">
        <f t="shared" si="302"/>
        <v>204.73130487217884</v>
      </c>
      <c r="DT323" s="248">
        <f t="shared" si="303"/>
        <v>2.4423190013137099</v>
      </c>
      <c r="DU323" s="94">
        <f t="shared" si="304"/>
        <v>1.9029365568314482E-2</v>
      </c>
      <c r="DV323" s="249">
        <f t="shared" si="305"/>
        <v>2.4613483669054732</v>
      </c>
      <c r="DW323" s="249">
        <f t="shared" si="306"/>
        <v>2.4613483668937488</v>
      </c>
      <c r="DX323" s="249">
        <f t="shared" si="307"/>
        <v>2781.3030784489579</v>
      </c>
      <c r="DY323" s="265">
        <f t="shared" si="235"/>
        <v>163.73139256914175</v>
      </c>
      <c r="DZ323" s="265">
        <f t="shared" si="236"/>
        <v>165.78463157497472</v>
      </c>
      <c r="EA323" s="94">
        <f t="shared" si="308"/>
        <v>5.1858372420388682E-2</v>
      </c>
      <c r="EB323" s="157">
        <f t="shared" si="237"/>
        <v>7.6263453497331426</v>
      </c>
      <c r="EC323" s="285">
        <f t="shared" si="309"/>
        <v>11.924668026790721</v>
      </c>
      <c r="ED323" s="157">
        <f t="shared" si="310"/>
        <v>27.851244798705</v>
      </c>
      <c r="EE323" s="143">
        <f t="shared" si="238"/>
        <v>424.32410463623341</v>
      </c>
    </row>
    <row r="324" spans="1:135" ht="12" customHeight="1" x14ac:dyDescent="0.2">
      <c r="A324" s="200" t="s">
        <v>442</v>
      </c>
      <c r="B324" s="236">
        <f t="shared" si="239"/>
        <v>227.85513835213712</v>
      </c>
      <c r="C324" s="237">
        <f t="shared" si="240"/>
        <v>4.9753701252150728</v>
      </c>
      <c r="D324" s="236">
        <f t="shared" si="241"/>
        <v>2914.5488978402668</v>
      </c>
      <c r="E324" s="236">
        <f t="shared" si="242"/>
        <v>163.72897663290752</v>
      </c>
      <c r="F324" s="237">
        <f t="shared" si="243"/>
        <v>4.9910228503440486</v>
      </c>
      <c r="G324" s="238">
        <f t="shared" si="244"/>
        <v>2781.3030784489579</v>
      </c>
      <c r="H324" s="118">
        <v>0</v>
      </c>
      <c r="I324" s="239">
        <f t="shared" si="245"/>
        <v>410.39848223688091</v>
      </c>
      <c r="J324" s="154">
        <f t="shared" si="311"/>
        <v>9.7032258064516153E-2</v>
      </c>
      <c r="K324" s="149">
        <f t="shared" si="183"/>
        <v>0.20661493375331977</v>
      </c>
      <c r="L324" s="240">
        <f t="shared" si="184"/>
        <v>410.39848223688091</v>
      </c>
      <c r="M324" s="154">
        <f t="shared" si="185"/>
        <v>0.49651722249326752</v>
      </c>
      <c r="N324" s="241">
        <f t="shared" si="186"/>
        <v>410.39848223688091</v>
      </c>
      <c r="O324" s="150">
        <f t="shared" si="187"/>
        <v>0.7768629163752413</v>
      </c>
      <c r="P324" s="150">
        <f t="shared" si="188"/>
        <v>4.2989450716315138</v>
      </c>
      <c r="Q324" s="152">
        <f t="shared" si="189"/>
        <v>3.2700992693991308E-5</v>
      </c>
      <c r="R324" s="152">
        <f t="shared" si="246"/>
        <v>495.21050257752989</v>
      </c>
      <c r="S324" s="153">
        <f t="shared" si="190"/>
        <v>0.12923796984693431</v>
      </c>
      <c r="T324" s="154">
        <f t="shared" si="191"/>
        <v>0.94795958498482613</v>
      </c>
      <c r="U324" s="155">
        <f t="shared" si="192"/>
        <v>0.68393856699725286</v>
      </c>
      <c r="V324" s="154">
        <f t="shared" si="193"/>
        <v>5.0749241607118384E-2</v>
      </c>
      <c r="W324" s="154">
        <f t="shared" si="247"/>
        <v>0.42760868056863571</v>
      </c>
      <c r="X324" s="154">
        <f t="shared" si="248"/>
        <v>0.29136781092426323</v>
      </c>
      <c r="Y324" s="154">
        <f t="shared" si="194"/>
        <v>6.0441473793253593</v>
      </c>
      <c r="Z324" s="154">
        <f t="shared" si="195"/>
        <v>40.430585637474614</v>
      </c>
      <c r="AA324" s="154">
        <f t="shared" si="196"/>
        <v>0.80655433570079749</v>
      </c>
      <c r="AB324" s="1"/>
      <c r="AC324" s="242">
        <f t="shared" si="197"/>
        <v>0.11867309331235117</v>
      </c>
      <c r="AD324" s="263">
        <f t="shared" si="198"/>
        <v>2.1992033972824543</v>
      </c>
      <c r="AE324" s="282">
        <f t="shared" si="199"/>
        <v>227.85513835213712</v>
      </c>
      <c r="AF324" s="243">
        <f t="shared" si="200"/>
        <v>0.34016568458760599</v>
      </c>
      <c r="AG324" s="243">
        <f t="shared" si="201"/>
        <v>21.188156949512205</v>
      </c>
      <c r="AH324" s="264">
        <f t="shared" si="202"/>
        <v>1.7275064856989442E-5</v>
      </c>
      <c r="AI324" s="264">
        <f t="shared" si="203"/>
        <v>12195.303456971482</v>
      </c>
      <c r="AJ324" s="245">
        <f t="shared" si="204"/>
        <v>4.4236405515951725E-2</v>
      </c>
      <c r="AK324" s="264">
        <f t="shared" si="205"/>
        <v>58.58332637253757</v>
      </c>
      <c r="AL324" s="246">
        <f t="shared" si="206"/>
        <v>0.98537676019832787</v>
      </c>
      <c r="AM324" s="263">
        <f t="shared" si="207"/>
        <v>3.7456050335988963E-2</v>
      </c>
      <c r="AN324" s="263">
        <f t="shared" si="249"/>
        <v>1.116069816775938</v>
      </c>
      <c r="AO324" s="263">
        <f t="shared" si="250"/>
        <v>1.0373711858884334</v>
      </c>
      <c r="AP324" s="235">
        <f t="shared" si="208"/>
        <v>44.061272151467648</v>
      </c>
      <c r="AQ324" s="235">
        <f t="shared" si="209"/>
        <v>365.0272555014335</v>
      </c>
      <c r="AR324" s="263">
        <f t="shared" si="210"/>
        <v>5.1847627083130234</v>
      </c>
      <c r="AT324" s="242">
        <f t="shared" si="211"/>
        <v>0.11691481665703563</v>
      </c>
      <c r="AU324" s="263">
        <f t="shared" si="212"/>
        <v>2.6713345650848166</v>
      </c>
      <c r="AV324" s="282">
        <f t="shared" si="213"/>
        <v>163.72897663290752</v>
      </c>
      <c r="AW324" s="243">
        <f t="shared" si="214"/>
        <v>0.28004486557460556</v>
      </c>
      <c r="AX324" s="243">
        <f t="shared" si="215"/>
        <v>17.443366081717883</v>
      </c>
      <c r="AY324" s="264">
        <f t="shared" si="216"/>
        <v>1.4614280959295155E-5</v>
      </c>
      <c r="AZ324" s="264">
        <f t="shared" si="217"/>
        <v>14415.670449790689</v>
      </c>
      <c r="BA324" s="245">
        <f t="shared" si="218"/>
        <v>4.3580992928626217E-2</v>
      </c>
      <c r="BB324" s="264">
        <f t="shared" si="219"/>
        <v>47.514748150771112</v>
      </c>
      <c r="BC324" s="246">
        <f t="shared" si="220"/>
        <v>1.0474577200016086</v>
      </c>
      <c r="BD324" s="263">
        <f t="shared" si="221"/>
        <v>3.2323948654530359E-2</v>
      </c>
      <c r="BE324" s="263">
        <f t="shared" si="251"/>
        <v>1.0662687141660867</v>
      </c>
      <c r="BF324" s="263">
        <f t="shared" si="252"/>
        <v>1.0202798274479747</v>
      </c>
      <c r="BG324" s="235">
        <f t="shared" si="222"/>
        <v>50.76561049535362</v>
      </c>
      <c r="BH324" s="235">
        <f t="shared" si="223"/>
        <v>362.94456937708975</v>
      </c>
      <c r="BI324" s="263">
        <f t="shared" si="224"/>
        <v>5.1551807163168775</v>
      </c>
      <c r="BJ324" s="247">
        <f t="shared" si="312"/>
        <v>256.92726832252453</v>
      </c>
      <c r="BK324" s="248">
        <f t="shared" si="253"/>
        <v>1.5013664594660061</v>
      </c>
      <c r="BL324" s="94">
        <f t="shared" si="254"/>
        <v>1.3001503294017612E-2</v>
      </c>
      <c r="BM324" s="249">
        <f t="shared" si="255"/>
        <v>1.828234446482484</v>
      </c>
      <c r="BN324" s="247">
        <f t="shared" si="256"/>
        <v>257.92726832252453</v>
      </c>
      <c r="BO324" s="248">
        <f t="shared" si="257"/>
        <v>1.4915837359104094</v>
      </c>
      <c r="BP324" s="94">
        <f t="shared" si="258"/>
        <v>1.2945770743352283E-2</v>
      </c>
      <c r="BQ324" s="249">
        <f t="shared" si="259"/>
        <v>1.8911206006220227</v>
      </c>
      <c r="BR324" s="247">
        <f t="shared" si="260"/>
        <v>252.61144617288869</v>
      </c>
      <c r="BS324" s="248">
        <f t="shared" si="261"/>
        <v>1.5435869544710148</v>
      </c>
      <c r="BT324" s="94">
        <f t="shared" si="262"/>
        <v>1.3238441076759123E-2</v>
      </c>
      <c r="BU324" s="249">
        <f t="shared" si="263"/>
        <v>1.5568289895416498</v>
      </c>
      <c r="BV324" s="283">
        <f t="shared" si="264"/>
        <v>1.5568271925447119</v>
      </c>
      <c r="BW324" s="282">
        <f t="shared" si="265"/>
        <v>2916.6299574027562</v>
      </c>
      <c r="BX324" s="265">
        <f t="shared" si="225"/>
        <v>228.85600053581871</v>
      </c>
      <c r="BY324" s="265">
        <f t="shared" si="226"/>
        <v>227.49222042943251</v>
      </c>
      <c r="BZ324" s="284">
        <f t="shared" si="313"/>
        <v>204.73148798568576</v>
      </c>
      <c r="CA324" s="248">
        <f t="shared" si="266"/>
        <v>2.0119833492699537</v>
      </c>
      <c r="CB324" s="94">
        <f t="shared" si="267"/>
        <v>1.5501161205321672E-2</v>
      </c>
      <c r="CC324" s="249">
        <f t="shared" si="268"/>
        <v>2.5637785096209291</v>
      </c>
      <c r="CD324" s="247">
        <f t="shared" si="269"/>
        <v>205.73148798568576</v>
      </c>
      <c r="CE324" s="248">
        <f t="shared" si="270"/>
        <v>2.002200625714357</v>
      </c>
      <c r="CF324" s="94">
        <f t="shared" si="271"/>
        <v>1.5460315539029589E-2</v>
      </c>
      <c r="CG324" s="249">
        <f t="shared" si="272"/>
        <v>2.6263058628252889</v>
      </c>
      <c r="CH324" s="247">
        <f t="shared" si="273"/>
        <v>197.3190876850216</v>
      </c>
      <c r="CI324" s="248">
        <f t="shared" si="274"/>
        <v>2.0844968122947733</v>
      </c>
      <c r="CJ324" s="94">
        <f t="shared" si="275"/>
        <v>1.5796024661166912E-2</v>
      </c>
      <c r="CK324" s="249">
        <f t="shared" si="276"/>
        <v>2.1003007379291998</v>
      </c>
      <c r="CL324" s="249">
        <f t="shared" si="277"/>
        <v>2.10029678744257</v>
      </c>
      <c r="CM324" s="249">
        <f t="shared" si="278"/>
        <v>2778.4905284076667</v>
      </c>
      <c r="CN324" s="265">
        <f t="shared" si="227"/>
        <v>162.37853493971352</v>
      </c>
      <c r="CO324" s="265">
        <f t="shared" si="228"/>
        <v>164.08039693707909</v>
      </c>
      <c r="CP324" s="94">
        <f t="shared" si="279"/>
        <v>4.7335921772363863E-2</v>
      </c>
      <c r="CQ324" s="157">
        <f t="shared" si="229"/>
        <v>6.7728401902552209</v>
      </c>
      <c r="CR324" s="285">
        <f t="shared" si="230"/>
        <v>10.477304042501498</v>
      </c>
      <c r="CS324" s="157">
        <f t="shared" si="231"/>
        <v>24.470782671901706</v>
      </c>
      <c r="CT324" s="143">
        <f t="shared" si="232"/>
        <v>398.16309090093006</v>
      </c>
      <c r="CU324" s="247">
        <f t="shared" si="280"/>
        <v>252.61144617288869</v>
      </c>
      <c r="CV324" s="248">
        <f t="shared" si="281"/>
        <v>1.4238915034368638</v>
      </c>
      <c r="CW324" s="94">
        <f t="shared" si="282"/>
        <v>1.1818760729550824E-2</v>
      </c>
      <c r="CX324" s="249">
        <f t="shared" si="283"/>
        <v>1.5796515019688531</v>
      </c>
      <c r="CY324" s="247">
        <f t="shared" si="284"/>
        <v>253.61144617288869</v>
      </c>
      <c r="CZ324" s="248">
        <f t="shared" si="285"/>
        <v>1.414108779881267</v>
      </c>
      <c r="DA324" s="94">
        <f t="shared" si="286"/>
        <v>1.1764377543092163E-2</v>
      </c>
      <c r="DB324" s="249">
        <f t="shared" si="287"/>
        <v>1.6425376561083918</v>
      </c>
      <c r="DC324" s="247">
        <f t="shared" si="288"/>
        <v>250.63214496915418</v>
      </c>
      <c r="DD324" s="248">
        <f t="shared" si="289"/>
        <v>1.4432544599462585</v>
      </c>
      <c r="DE324" s="94">
        <f t="shared" si="290"/>
        <v>1.1925489972666273E-2</v>
      </c>
      <c r="DF324" s="249">
        <f t="shared" si="291"/>
        <v>1.4551808613822304</v>
      </c>
      <c r="DG324" s="283">
        <f t="shared" si="292"/>
        <v>1.4551804056505775</v>
      </c>
      <c r="DH324" s="282">
        <f t="shared" si="293"/>
        <v>2906.582439406689</v>
      </c>
      <c r="DI324" s="265">
        <f t="shared" si="233"/>
        <v>224.01757702496451</v>
      </c>
      <c r="DJ324" s="265">
        <f t="shared" si="234"/>
        <v>222.7586390453348</v>
      </c>
      <c r="DK324" s="284">
        <f t="shared" si="294"/>
        <v>197.3190876850216</v>
      </c>
      <c r="DL324" s="248">
        <f t="shared" si="295"/>
        <v>2.0844968122947733</v>
      </c>
      <c r="DM324" s="94">
        <f t="shared" si="296"/>
        <v>1.5796024661166912E-2</v>
      </c>
      <c r="DN324" s="249">
        <f t="shared" si="297"/>
        <v>2.1003007379291998</v>
      </c>
      <c r="DO324" s="247">
        <f t="shared" si="298"/>
        <v>198.3190876850216</v>
      </c>
      <c r="DP324" s="248">
        <f t="shared" si="299"/>
        <v>2.0747140887391771</v>
      </c>
      <c r="DQ324" s="94">
        <f t="shared" si="300"/>
        <v>1.5757048982964924E-2</v>
      </c>
      <c r="DR324" s="249">
        <f t="shared" si="301"/>
        <v>2.1628280911335596</v>
      </c>
      <c r="DS324" s="247">
        <f t="shared" si="302"/>
        <v>197.31897847870869</v>
      </c>
      <c r="DT324" s="248">
        <f t="shared" si="303"/>
        <v>2.0844978806299435</v>
      </c>
      <c r="DU324" s="94">
        <f t="shared" si="304"/>
        <v>1.5796028904004566E-2</v>
      </c>
      <c r="DV324" s="249">
        <f t="shared" si="305"/>
        <v>2.1002939095475002</v>
      </c>
      <c r="DW324" s="249">
        <f t="shared" si="306"/>
        <v>2.1002939095407243</v>
      </c>
      <c r="DX324" s="249">
        <f t="shared" si="307"/>
        <v>2778.4955499413504</v>
      </c>
      <c r="DY324" s="265">
        <f t="shared" si="235"/>
        <v>162.3809527171957</v>
      </c>
      <c r="DZ324" s="265">
        <f t="shared" si="236"/>
        <v>164.08279214608521</v>
      </c>
      <c r="EA324" s="94">
        <f t="shared" si="308"/>
        <v>4.3394889128513629E-2</v>
      </c>
      <c r="EB324" s="157">
        <f t="shared" si="237"/>
        <v>6.4405656181844178</v>
      </c>
      <c r="EC324" s="285">
        <f t="shared" si="309"/>
        <v>10.039434822511009</v>
      </c>
      <c r="ED324" s="157">
        <f t="shared" si="310"/>
        <v>23.448095683184317</v>
      </c>
      <c r="EE324" s="143">
        <f t="shared" si="238"/>
        <v>398.67443439528876</v>
      </c>
    </row>
    <row r="325" spans="1:135" ht="12" customHeight="1" x14ac:dyDescent="0.2">
      <c r="A325" s="200" t="s">
        <v>442</v>
      </c>
      <c r="B325" s="236">
        <f t="shared" si="239"/>
        <v>228.85600053581871</v>
      </c>
      <c r="C325" s="237">
        <f t="shared" si="240"/>
        <v>4.9747842919513472</v>
      </c>
      <c r="D325" s="236">
        <f t="shared" si="241"/>
        <v>2916.6299574027562</v>
      </c>
      <c r="E325" s="236">
        <f t="shared" si="242"/>
        <v>162.37853493971352</v>
      </c>
      <c r="F325" s="237">
        <f t="shared" si="243"/>
        <v>4.9914979978255563</v>
      </c>
      <c r="G325" s="238">
        <f t="shared" si="244"/>
        <v>2778.4955499413504</v>
      </c>
      <c r="H325" s="118">
        <v>0</v>
      </c>
      <c r="I325" s="239">
        <f t="shared" si="245"/>
        <v>386.9503865536966</v>
      </c>
      <c r="J325" s="154">
        <f t="shared" si="311"/>
        <v>0.10916129032258068</v>
      </c>
      <c r="K325" s="149">
        <f t="shared" si="183"/>
        <v>0.20200312382390895</v>
      </c>
      <c r="L325" s="240">
        <f t="shared" si="184"/>
        <v>386.9503865536966</v>
      </c>
      <c r="M325" s="154">
        <f t="shared" si="185"/>
        <v>0.51493220299853515</v>
      </c>
      <c r="N325" s="241">
        <f t="shared" si="186"/>
        <v>386.9503865536966</v>
      </c>
      <c r="O325" s="150">
        <f t="shared" si="187"/>
        <v>0.74908078238360176</v>
      </c>
      <c r="P325" s="150">
        <f t="shared" si="188"/>
        <v>4.1452064061794021</v>
      </c>
      <c r="Q325" s="152">
        <f t="shared" si="189"/>
        <v>3.1971080484509895E-5</v>
      </c>
      <c r="R325" s="152">
        <f t="shared" si="246"/>
        <v>506.51635106988516</v>
      </c>
      <c r="S325" s="153">
        <f t="shared" si="190"/>
        <v>0.12635327539736183</v>
      </c>
      <c r="T325" s="154">
        <f t="shared" si="191"/>
        <v>0.89365618180645257</v>
      </c>
      <c r="U325" s="155">
        <f t="shared" si="192"/>
        <v>0.6831870572785318</v>
      </c>
      <c r="V325" s="154">
        <f t="shared" si="193"/>
        <v>4.9575218904357038E-2</v>
      </c>
      <c r="W325" s="154">
        <f t="shared" si="247"/>
        <v>0.41114564001521536</v>
      </c>
      <c r="X325" s="154">
        <f t="shared" si="248"/>
        <v>0.27944131558785285</v>
      </c>
      <c r="Y325" s="154">
        <f t="shared" si="194"/>
        <v>5.8560000000000008</v>
      </c>
      <c r="Z325" s="154">
        <f t="shared" si="195"/>
        <v>38.265830074749502</v>
      </c>
      <c r="AA325" s="154">
        <f t="shared" si="196"/>
        <v>0.76336938160431234</v>
      </c>
      <c r="AB325" s="1"/>
      <c r="AC325" s="242">
        <f t="shared" si="197"/>
        <v>0.11870006683147827</v>
      </c>
      <c r="AD325" s="263">
        <f t="shared" si="198"/>
        <v>2.1941345709932492</v>
      </c>
      <c r="AE325" s="282">
        <f t="shared" si="199"/>
        <v>228.85600053581871</v>
      </c>
      <c r="AF325" s="243">
        <f t="shared" si="200"/>
        <v>0.34095152552348923</v>
      </c>
      <c r="AG325" s="243">
        <f t="shared" si="201"/>
        <v>21.237105217492356</v>
      </c>
      <c r="AH325" s="264">
        <f t="shared" si="202"/>
        <v>1.7316610390712667E-5</v>
      </c>
      <c r="AI325" s="264">
        <f t="shared" si="203"/>
        <v>12166.044821499248</v>
      </c>
      <c r="AJ325" s="245">
        <f t="shared" si="204"/>
        <v>4.4246460124768218E-2</v>
      </c>
      <c r="AK325" s="264">
        <f t="shared" si="205"/>
        <v>58.732010199797656</v>
      </c>
      <c r="AL325" s="246">
        <f t="shared" si="206"/>
        <v>0.98458614232354336</v>
      </c>
      <c r="AM325" s="263">
        <f t="shared" si="207"/>
        <v>3.7541860289932026E-2</v>
      </c>
      <c r="AN325" s="263">
        <f t="shared" si="249"/>
        <v>1.1069688417494856</v>
      </c>
      <c r="AO325" s="263">
        <f t="shared" si="250"/>
        <v>1.034161041537867</v>
      </c>
      <c r="AP325" s="235">
        <f t="shared" si="208"/>
        <v>43.826523954217272</v>
      </c>
      <c r="AQ325" s="235">
        <f t="shared" si="209"/>
        <v>363.91427923617283</v>
      </c>
      <c r="AR325" s="263">
        <f t="shared" si="210"/>
        <v>5.1689542508666504</v>
      </c>
      <c r="AT325" s="242">
        <f t="shared" si="211"/>
        <v>0.11687711844926849</v>
      </c>
      <c r="AU325" s="263">
        <f t="shared" si="212"/>
        <v>2.671574151927294</v>
      </c>
      <c r="AV325" s="282">
        <f t="shared" si="213"/>
        <v>162.37853493971352</v>
      </c>
      <c r="AW325" s="243">
        <f t="shared" si="214"/>
        <v>0.28001975114345773</v>
      </c>
      <c r="AX325" s="243">
        <f t="shared" si="215"/>
        <v>17.441801760174094</v>
      </c>
      <c r="AY325" s="264">
        <f t="shared" si="216"/>
        <v>1.4558269939995951E-5</v>
      </c>
      <c r="AZ325" s="264">
        <f t="shared" si="217"/>
        <v>14471.132836399964</v>
      </c>
      <c r="BA325" s="245">
        <f t="shared" si="218"/>
        <v>4.3566940600845212E-2</v>
      </c>
      <c r="BB325" s="264">
        <f t="shared" si="219"/>
        <v>47.495167666479027</v>
      </c>
      <c r="BC325" s="246">
        <f t="shared" si="220"/>
        <v>1.0490147633588274</v>
      </c>
      <c r="BD325" s="263">
        <f t="shared" si="221"/>
        <v>3.2223868209277542E-2</v>
      </c>
      <c r="BE325" s="263">
        <f t="shared" si="251"/>
        <v>1.0689739427965639</v>
      </c>
      <c r="BF325" s="263">
        <f t="shared" si="252"/>
        <v>1.0211329884614491</v>
      </c>
      <c r="BG325" s="235">
        <f t="shared" si="222"/>
        <v>50.994672483783745</v>
      </c>
      <c r="BH325" s="235">
        <f t="shared" si="223"/>
        <v>363.45342066104564</v>
      </c>
      <c r="BI325" s="263">
        <f t="shared" si="224"/>
        <v>5.1624083222596386</v>
      </c>
      <c r="BJ325" s="247">
        <f t="shared" si="312"/>
        <v>252.61144617288869</v>
      </c>
      <c r="BK325" s="248">
        <f t="shared" si="253"/>
        <v>1.2438350943644314</v>
      </c>
      <c r="BL325" s="94">
        <f t="shared" si="254"/>
        <v>1.0584157389465079E-2</v>
      </c>
      <c r="BM325" s="249">
        <f t="shared" si="255"/>
        <v>1.4893337161876998</v>
      </c>
      <c r="BN325" s="247">
        <f t="shared" si="256"/>
        <v>253.61144617288869</v>
      </c>
      <c r="BO325" s="248">
        <f t="shared" si="257"/>
        <v>1.2345761625101341</v>
      </c>
      <c r="BP325" s="94">
        <f t="shared" si="258"/>
        <v>1.0529774203006416E-2</v>
      </c>
      <c r="BQ325" s="249">
        <f t="shared" si="259"/>
        <v>1.5520281290369213</v>
      </c>
      <c r="BR325" s="247">
        <f t="shared" si="260"/>
        <v>249.34909543196912</v>
      </c>
      <c r="BS325" s="248">
        <f t="shared" si="261"/>
        <v>1.2740409775594226</v>
      </c>
      <c r="BT325" s="94">
        <f t="shared" si="262"/>
        <v>1.0759428634417643E-2</v>
      </c>
      <c r="BU325" s="249">
        <f t="shared" si="263"/>
        <v>1.284802551977525</v>
      </c>
      <c r="BV325" s="283">
        <f t="shared" si="264"/>
        <v>1.2848014790856825</v>
      </c>
      <c r="BW325" s="282">
        <f t="shared" si="265"/>
        <v>2918.3473916926732</v>
      </c>
      <c r="BX325" s="265">
        <f t="shared" si="225"/>
        <v>229.6817637618758</v>
      </c>
      <c r="BY325" s="265">
        <f t="shared" si="226"/>
        <v>228.58699209565415</v>
      </c>
      <c r="BZ325" s="284">
        <f t="shared" si="313"/>
        <v>197.3190876850216</v>
      </c>
      <c r="CA325" s="248">
        <f t="shared" si="266"/>
        <v>1.7557832736669794</v>
      </c>
      <c r="CB325" s="94">
        <f t="shared" si="267"/>
        <v>1.3141740973872868E-2</v>
      </c>
      <c r="CC325" s="249">
        <f t="shared" si="268"/>
        <v>2.1878033065822793</v>
      </c>
      <c r="CD325" s="247">
        <f t="shared" si="269"/>
        <v>198.3190876850216</v>
      </c>
      <c r="CE325" s="248">
        <f t="shared" si="270"/>
        <v>1.7465243418126819</v>
      </c>
      <c r="CF325" s="94">
        <f t="shared" si="271"/>
        <v>1.3102765295670884E-2</v>
      </c>
      <c r="CG325" s="249">
        <f t="shared" si="272"/>
        <v>2.250418323652267</v>
      </c>
      <c r="CH325" s="247">
        <f t="shared" si="273"/>
        <v>191.49428923249226</v>
      </c>
      <c r="CI325" s="248">
        <f t="shared" si="274"/>
        <v>1.8097146856039659</v>
      </c>
      <c r="CJ325" s="94">
        <f t="shared" si="275"/>
        <v>1.3363874207536708E-2</v>
      </c>
      <c r="CK325" s="249">
        <f t="shared" si="276"/>
        <v>1.8230834520479156</v>
      </c>
      <c r="CL325" s="249">
        <f t="shared" si="277"/>
        <v>1.8230810059297091</v>
      </c>
      <c r="CM325" s="249">
        <f t="shared" si="278"/>
        <v>2776.0535590518184</v>
      </c>
      <c r="CN325" s="265">
        <f t="shared" si="227"/>
        <v>161.20652347652924</v>
      </c>
      <c r="CO325" s="265">
        <f t="shared" si="228"/>
        <v>162.64346020680415</v>
      </c>
      <c r="CP325" s="94">
        <f t="shared" si="279"/>
        <v>3.9967630256435606E-2</v>
      </c>
      <c r="CQ325" s="157">
        <f t="shared" si="229"/>
        <v>5.8075236459296606</v>
      </c>
      <c r="CR325" s="285">
        <f t="shared" si="230"/>
        <v>8.955376207319695</v>
      </c>
      <c r="CS325" s="157">
        <f t="shared" si="231"/>
        <v>20.916169276511507</v>
      </c>
      <c r="CT325" s="143">
        <f t="shared" si="232"/>
        <v>376.49230191544086</v>
      </c>
      <c r="CU325" s="247">
        <f t="shared" si="280"/>
        <v>249.34909543196912</v>
      </c>
      <c r="CV325" s="248">
        <f t="shared" si="281"/>
        <v>1.1772102845673376</v>
      </c>
      <c r="CW325" s="94">
        <f t="shared" si="282"/>
        <v>9.6632524595111659E-3</v>
      </c>
      <c r="CX325" s="249">
        <f t="shared" si="283"/>
        <v>1.3016678781851267</v>
      </c>
      <c r="CY325" s="247">
        <f t="shared" si="284"/>
        <v>250.34909543196912</v>
      </c>
      <c r="CZ325" s="248">
        <f t="shared" si="285"/>
        <v>1.1679513527130401</v>
      </c>
      <c r="DA325" s="94">
        <f t="shared" si="286"/>
        <v>9.6098746820247032E-3</v>
      </c>
      <c r="DB325" s="249">
        <f t="shared" si="287"/>
        <v>1.364362291034348</v>
      </c>
      <c r="DC325" s="247">
        <f t="shared" si="288"/>
        <v>247.75487843106953</v>
      </c>
      <c r="DD325" s="248">
        <f t="shared" si="289"/>
        <v>1.1919710311396294</v>
      </c>
      <c r="DE325" s="94">
        <f t="shared" si="290"/>
        <v>9.7477165811602588E-3</v>
      </c>
      <c r="DF325" s="249">
        <f t="shared" si="291"/>
        <v>1.2017193793594803</v>
      </c>
      <c r="DG325" s="283">
        <f t="shared" si="292"/>
        <v>1.2017190635401351</v>
      </c>
      <c r="DH325" s="282">
        <f t="shared" si="293"/>
        <v>2908.1888148352414</v>
      </c>
      <c r="DI325" s="265">
        <f t="shared" si="233"/>
        <v>224.78983193742198</v>
      </c>
      <c r="DJ325" s="265">
        <f t="shared" si="234"/>
        <v>223.77423549137839</v>
      </c>
      <c r="DK325" s="284">
        <f t="shared" si="294"/>
        <v>191.49428923249226</v>
      </c>
      <c r="DL325" s="248">
        <f t="shared" si="295"/>
        <v>1.8097146856039659</v>
      </c>
      <c r="DM325" s="94">
        <f t="shared" si="296"/>
        <v>1.3363874207536708E-2</v>
      </c>
      <c r="DN325" s="249">
        <f t="shared" si="297"/>
        <v>1.8230834520479156</v>
      </c>
      <c r="DO325" s="247">
        <f t="shared" si="298"/>
        <v>192.49428923249226</v>
      </c>
      <c r="DP325" s="248">
        <f t="shared" si="299"/>
        <v>1.8004557537496684</v>
      </c>
      <c r="DQ325" s="94">
        <f t="shared" si="300"/>
        <v>1.3326327283285712E-2</v>
      </c>
      <c r="DR325" s="249">
        <f t="shared" si="301"/>
        <v>1.8856984691179033</v>
      </c>
      <c r="DS325" s="247">
        <f t="shared" si="302"/>
        <v>191.49422120113852</v>
      </c>
      <c r="DT325" s="248">
        <f t="shared" si="303"/>
        <v>1.8097153155016343</v>
      </c>
      <c r="DU325" s="94">
        <f t="shared" si="304"/>
        <v>1.3363876753670149E-2</v>
      </c>
      <c r="DV325" s="249">
        <f t="shared" si="305"/>
        <v>1.8230791922635392</v>
      </c>
      <c r="DW325" s="249">
        <f t="shared" si="306"/>
        <v>1.8230791922594218</v>
      </c>
      <c r="DX325" s="249">
        <f t="shared" si="307"/>
        <v>2776.0585830098921</v>
      </c>
      <c r="DY325" s="265">
        <f t="shared" si="235"/>
        <v>161.20894241029879</v>
      </c>
      <c r="DZ325" s="265">
        <f t="shared" si="236"/>
        <v>162.64586727819199</v>
      </c>
      <c r="EA325" s="94">
        <f t="shared" si="308"/>
        <v>3.6924645194895224E-2</v>
      </c>
      <c r="EB325" s="157">
        <f t="shared" si="237"/>
        <v>5.5387216421836323</v>
      </c>
      <c r="EC325" s="285">
        <f t="shared" si="309"/>
        <v>8.600444543182201</v>
      </c>
      <c r="ED325" s="157">
        <f t="shared" si="310"/>
        <v>20.08719117477348</v>
      </c>
      <c r="EE325" s="143">
        <f t="shared" si="238"/>
        <v>376.90679096630987</v>
      </c>
    </row>
    <row r="326" spans="1:135" ht="12" customHeight="1" x14ac:dyDescent="0.2">
      <c r="A326" s="200" t="s">
        <v>442</v>
      </c>
      <c r="B326" s="236">
        <f t="shared" si="239"/>
        <v>229.6817637618758</v>
      </c>
      <c r="C326" s="237">
        <f t="shared" si="240"/>
        <v>4.9741969718493495</v>
      </c>
      <c r="D326" s="236">
        <f t="shared" si="241"/>
        <v>2918.3473916926732</v>
      </c>
      <c r="E326" s="236">
        <f t="shared" si="242"/>
        <v>161.20652347652924</v>
      </c>
      <c r="F326" s="237">
        <f t="shared" si="243"/>
        <v>4.9919729495022214</v>
      </c>
      <c r="G326" s="238">
        <f t="shared" si="244"/>
        <v>2776.0585830098921</v>
      </c>
      <c r="H326" s="118">
        <v>0</v>
      </c>
      <c r="I326" s="239">
        <f t="shared" si="245"/>
        <v>366.86319537892314</v>
      </c>
      <c r="J326" s="154">
        <f t="shared" si="311"/>
        <v>0.1212903225806452</v>
      </c>
      <c r="K326" s="149">
        <f t="shared" si="183"/>
        <v>0.19800363928267239</v>
      </c>
      <c r="L326" s="240">
        <f t="shared" si="184"/>
        <v>366.86319537892314</v>
      </c>
      <c r="M326" s="154">
        <f t="shared" si="185"/>
        <v>0.53220703210912557</v>
      </c>
      <c r="N326" s="241">
        <f t="shared" si="186"/>
        <v>366.86319537892314</v>
      </c>
      <c r="O326" s="150">
        <f t="shared" si="187"/>
        <v>0.72476648038270153</v>
      </c>
      <c r="P326" s="150">
        <f t="shared" si="188"/>
        <v>4.0106577663181548</v>
      </c>
      <c r="Q326" s="152">
        <f t="shared" si="189"/>
        <v>3.1338081153886214E-5</v>
      </c>
      <c r="R326" s="152">
        <f t="shared" si="246"/>
        <v>516.74749794843058</v>
      </c>
      <c r="S326" s="153">
        <f t="shared" si="190"/>
        <v>0.12385159145247948</v>
      </c>
      <c r="T326" s="154">
        <f t="shared" si="191"/>
        <v>0.84752983457498599</v>
      </c>
      <c r="U326" s="155">
        <f t="shared" si="192"/>
        <v>0.68263863071198783</v>
      </c>
      <c r="V326" s="154">
        <f t="shared" si="193"/>
        <v>4.85694733294273E-2</v>
      </c>
      <c r="W326" s="154">
        <f t="shared" si="247"/>
        <v>0.39695676490276766</v>
      </c>
      <c r="X326" s="154">
        <f t="shared" si="248"/>
        <v>0.26925688889073807</v>
      </c>
      <c r="Y326" s="154">
        <f t="shared" si="194"/>
        <v>5.8560000000000008</v>
      </c>
      <c r="Z326" s="154">
        <f t="shared" si="195"/>
        <v>37.489521061511631</v>
      </c>
      <c r="AA326" s="154">
        <f t="shared" si="196"/>
        <v>0.74788270510437416</v>
      </c>
      <c r="AB326" s="1"/>
      <c r="AC326" s="242">
        <f t="shared" si="197"/>
        <v>0.11872231106035311</v>
      </c>
      <c r="AD326" s="263">
        <f t="shared" si="198"/>
        <v>2.1899242660531302</v>
      </c>
      <c r="AE326" s="282">
        <f t="shared" si="199"/>
        <v>229.6817637618758</v>
      </c>
      <c r="AF326" s="243">
        <f t="shared" si="200"/>
        <v>0.34160703216109539</v>
      </c>
      <c r="AG326" s="243">
        <f t="shared" si="201"/>
        <v>21.27793525458409</v>
      </c>
      <c r="AH326" s="264">
        <f t="shared" si="202"/>
        <v>1.7350888000278197E-5</v>
      </c>
      <c r="AI326" s="264">
        <f t="shared" si="203"/>
        <v>12142.010147634637</v>
      </c>
      <c r="AJ326" s="245">
        <f t="shared" si="204"/>
        <v>4.4254751850393903E-2</v>
      </c>
      <c r="AK326" s="264">
        <f t="shared" si="205"/>
        <v>58.855954655440357</v>
      </c>
      <c r="AL326" s="246">
        <f t="shared" si="206"/>
        <v>0.98393719990479267</v>
      </c>
      <c r="AM326" s="263">
        <f t="shared" si="207"/>
        <v>3.7612757811743738E-2</v>
      </c>
      <c r="AN326" s="263">
        <f t="shared" si="249"/>
        <v>1.0994267262219581</v>
      </c>
      <c r="AO326" s="263">
        <f t="shared" si="250"/>
        <v>1.0315476864742117</v>
      </c>
      <c r="AP326" s="235">
        <f t="shared" si="208"/>
        <v>43.635159795292871</v>
      </c>
      <c r="AQ326" s="235">
        <f t="shared" si="209"/>
        <v>363.0095323049386</v>
      </c>
      <c r="AR326" s="263">
        <f t="shared" si="210"/>
        <v>5.1561034347184691</v>
      </c>
      <c r="AT326" s="242">
        <f t="shared" si="211"/>
        <v>0.11684437755374026</v>
      </c>
      <c r="AU326" s="263">
        <f t="shared" si="212"/>
        <v>2.6718136387180818</v>
      </c>
      <c r="AV326" s="282">
        <f t="shared" si="213"/>
        <v>161.20652347652924</v>
      </c>
      <c r="AW326" s="243">
        <f t="shared" si="214"/>
        <v>0.27999465170142074</v>
      </c>
      <c r="AX326" s="243">
        <f t="shared" si="215"/>
        <v>17.440238372268375</v>
      </c>
      <c r="AY326" s="264">
        <f t="shared" si="216"/>
        <v>1.4509660268255827E-5</v>
      </c>
      <c r="AZ326" s="264">
        <f t="shared" si="217"/>
        <v>14519.613435110057</v>
      </c>
      <c r="BA326" s="245">
        <f t="shared" si="218"/>
        <v>4.3554736153391137E-2</v>
      </c>
      <c r="BB326" s="264">
        <f t="shared" si="219"/>
        <v>47.477606786128646</v>
      </c>
      <c r="BC326" s="246">
        <f t="shared" si="220"/>
        <v>1.0503757044846704</v>
      </c>
      <c r="BD326" s="263">
        <f t="shared" si="221"/>
        <v>3.2137312155423224E-2</v>
      </c>
      <c r="BE326" s="263">
        <f t="shared" si="251"/>
        <v>1.0719640024425086</v>
      </c>
      <c r="BF326" s="263">
        <f t="shared" si="252"/>
        <v>1.0220789304545392</v>
      </c>
      <c r="BG326" s="235">
        <f t="shared" si="222"/>
        <v>51.205213589180474</v>
      </c>
      <c r="BH326" s="235">
        <f t="shared" si="223"/>
        <v>363.9737089933231</v>
      </c>
      <c r="BI326" s="263">
        <f t="shared" si="224"/>
        <v>5.1697983773914311</v>
      </c>
      <c r="BJ326" s="247">
        <f t="shared" si="312"/>
        <v>249.34909543196912</v>
      </c>
      <c r="BK326" s="248">
        <f t="shared" si="253"/>
        <v>1.0659813829530298</v>
      </c>
      <c r="BL326" s="94">
        <f t="shared" si="254"/>
        <v>8.699713539505511E-3</v>
      </c>
      <c r="BM326" s="249">
        <f t="shared" si="255"/>
        <v>1.2299663044304596</v>
      </c>
      <c r="BN326" s="247">
        <f t="shared" si="256"/>
        <v>250.34909543196912</v>
      </c>
      <c r="BO326" s="248">
        <f t="shared" si="257"/>
        <v>1.0569102894975704</v>
      </c>
      <c r="BP326" s="94">
        <f t="shared" si="258"/>
        <v>8.6463357620190483E-3</v>
      </c>
      <c r="BQ326" s="249">
        <f t="shared" si="259"/>
        <v>1.2925048493160773</v>
      </c>
      <c r="BR326" s="247">
        <f t="shared" si="260"/>
        <v>247.18221471233807</v>
      </c>
      <c r="BS326" s="248">
        <f t="shared" si="261"/>
        <v>1.0856373604676364</v>
      </c>
      <c r="BT326" s="94">
        <f t="shared" si="262"/>
        <v>8.8143295326997169E-3</v>
      </c>
      <c r="BU326" s="249">
        <f t="shared" si="263"/>
        <v>1.0944527372840338</v>
      </c>
      <c r="BV326" s="283">
        <f t="shared" si="264"/>
        <v>1.0944522136421848</v>
      </c>
      <c r="BW326" s="282">
        <f t="shared" si="265"/>
        <v>2919.8103801706461</v>
      </c>
      <c r="BX326" s="265">
        <f t="shared" si="225"/>
        <v>230.38500223514279</v>
      </c>
      <c r="BY326" s="265">
        <f t="shared" si="226"/>
        <v>229.48599716539849</v>
      </c>
      <c r="BZ326" s="284">
        <f t="shared" si="313"/>
        <v>191.49428923249226</v>
      </c>
      <c r="CA326" s="248">
        <f t="shared" si="266"/>
        <v>1.5907877368359826</v>
      </c>
      <c r="CB326" s="94">
        <f t="shared" si="267"/>
        <v>1.1304159112624577E-2</v>
      </c>
      <c r="CC326" s="249">
        <f t="shared" si="268"/>
        <v>1.8991837899921309</v>
      </c>
      <c r="CD326" s="247">
        <f t="shared" si="269"/>
        <v>192.49428923249226</v>
      </c>
      <c r="CE326" s="248">
        <f t="shared" si="270"/>
        <v>1.5817166433805234</v>
      </c>
      <c r="CF326" s="94">
        <f t="shared" si="271"/>
        <v>1.1266612188373581E-2</v>
      </c>
      <c r="CG326" s="249">
        <f t="shared" si="272"/>
        <v>1.9618884412792013</v>
      </c>
      <c r="CH326" s="247">
        <f t="shared" si="273"/>
        <v>187.35728496562126</v>
      </c>
      <c r="CI326" s="248">
        <f t="shared" si="274"/>
        <v>1.6283148891664043</v>
      </c>
      <c r="CJ326" s="94">
        <f t="shared" si="275"/>
        <v>1.1456933938957383E-2</v>
      </c>
      <c r="CK326" s="249">
        <f t="shared" si="276"/>
        <v>1.6397743800648628</v>
      </c>
      <c r="CL326" s="249">
        <f t="shared" si="277"/>
        <v>1.6397731015851122</v>
      </c>
      <c r="CM326" s="249">
        <f t="shared" si="278"/>
        <v>2773.8616231004758</v>
      </c>
      <c r="CN326" s="265">
        <f t="shared" si="227"/>
        <v>160.15250019863055</v>
      </c>
      <c r="CO326" s="265">
        <f t="shared" si="228"/>
        <v>161.39798020271735</v>
      </c>
      <c r="CP326" s="94">
        <f t="shared" si="279"/>
        <v>3.4249861152959526E-2</v>
      </c>
      <c r="CQ326" s="157">
        <f t="shared" si="229"/>
        <v>5.1838821774500783</v>
      </c>
      <c r="CR326" s="285">
        <f t="shared" si="230"/>
        <v>7.9523586323100854</v>
      </c>
      <c r="CS326" s="157">
        <f t="shared" si="231"/>
        <v>18.573522256381899</v>
      </c>
      <c r="CT326" s="143">
        <f t="shared" si="232"/>
        <v>357.57643425073218</v>
      </c>
      <c r="CU326" s="247">
        <f t="shared" si="280"/>
        <v>247.18221471233807</v>
      </c>
      <c r="CV326" s="248">
        <f t="shared" si="281"/>
        <v>1.0013962823752875</v>
      </c>
      <c r="CW326" s="94">
        <f t="shared" si="282"/>
        <v>7.9253523833294169E-3</v>
      </c>
      <c r="CX326" s="249">
        <f t="shared" si="283"/>
        <v>1.1066956953649347</v>
      </c>
      <c r="CY326" s="247">
        <f t="shared" si="284"/>
        <v>248.18221471233807</v>
      </c>
      <c r="CZ326" s="248">
        <f t="shared" si="285"/>
        <v>0.99232518891982802</v>
      </c>
      <c r="DA326" s="94">
        <f t="shared" si="286"/>
        <v>7.8726355107874534E-3</v>
      </c>
      <c r="DB326" s="249">
        <f t="shared" si="287"/>
        <v>1.1692342402505524</v>
      </c>
      <c r="DC326" s="247">
        <f t="shared" si="288"/>
        <v>245.82342514540221</v>
      </c>
      <c r="DD326" s="248">
        <f t="shared" si="289"/>
        <v>1.0137219895232661</v>
      </c>
      <c r="DE326" s="94">
        <f t="shared" si="290"/>
        <v>7.9964979234969386E-3</v>
      </c>
      <c r="DF326" s="249">
        <f t="shared" si="291"/>
        <v>1.0217189730430078</v>
      </c>
      <c r="DG326" s="283">
        <f t="shared" si="292"/>
        <v>1.0217187302448854</v>
      </c>
      <c r="DH326" s="282">
        <f t="shared" si="293"/>
        <v>2909.5545781928786</v>
      </c>
      <c r="DI326" s="265">
        <f t="shared" si="233"/>
        <v>225.44622319546539</v>
      </c>
      <c r="DJ326" s="265">
        <f t="shared" si="234"/>
        <v>224.61022934342191</v>
      </c>
      <c r="DK326" s="284">
        <f t="shared" si="294"/>
        <v>187.35728496562126</v>
      </c>
      <c r="DL326" s="248">
        <f t="shared" si="295"/>
        <v>1.6283148891664043</v>
      </c>
      <c r="DM326" s="94">
        <f t="shared" si="296"/>
        <v>1.1456933938957383E-2</v>
      </c>
      <c r="DN326" s="249">
        <f t="shared" si="297"/>
        <v>1.6397743800648628</v>
      </c>
      <c r="DO326" s="247">
        <f t="shared" si="298"/>
        <v>188.35728496562126</v>
      </c>
      <c r="DP326" s="248">
        <f t="shared" si="299"/>
        <v>1.6192437957109447</v>
      </c>
      <c r="DQ326" s="94">
        <f t="shared" si="300"/>
        <v>1.1420380277200905E-2</v>
      </c>
      <c r="DR326" s="249">
        <f t="shared" si="301"/>
        <v>1.7024790313519329</v>
      </c>
      <c r="DS326" s="247">
        <f t="shared" si="302"/>
        <v>187.35724935947081</v>
      </c>
      <c r="DT326" s="248">
        <f t="shared" si="303"/>
        <v>1.6283152121531228</v>
      </c>
      <c r="DU326" s="94">
        <f t="shared" si="304"/>
        <v>1.1456935236259234E-2</v>
      </c>
      <c r="DV326" s="249">
        <f t="shared" si="305"/>
        <v>1.6397721473936151</v>
      </c>
      <c r="DW326" s="249">
        <f t="shared" si="306"/>
        <v>1.6397721473914986</v>
      </c>
      <c r="DX326" s="249">
        <f t="shared" si="307"/>
        <v>2773.8666483340498</v>
      </c>
      <c r="DY326" s="265">
        <f t="shared" si="235"/>
        <v>160.15491973551698</v>
      </c>
      <c r="DZ326" s="265">
        <f t="shared" si="236"/>
        <v>161.40039350685447</v>
      </c>
      <c r="EA326" s="94">
        <f t="shared" si="308"/>
        <v>3.1782060586307573E-2</v>
      </c>
      <c r="EB326" s="157">
        <f t="shared" si="237"/>
        <v>4.9500289446657177</v>
      </c>
      <c r="EC326" s="285">
        <f t="shared" si="309"/>
        <v>7.6433018828905261</v>
      </c>
      <c r="ED326" s="157">
        <f t="shared" si="310"/>
        <v>17.851689567586053</v>
      </c>
      <c r="EE326" s="143">
        <f t="shared" si="238"/>
        <v>357.93735059513011</v>
      </c>
    </row>
    <row r="327" spans="1:135" ht="12" customHeight="1" x14ac:dyDescent="0.2">
      <c r="A327" s="200" t="s">
        <v>442</v>
      </c>
      <c r="B327" s="236">
        <f t="shared" si="239"/>
        <v>230.38500223514279</v>
      </c>
      <c r="C327" s="237">
        <f t="shared" si="240"/>
        <v>4.973608412302795</v>
      </c>
      <c r="D327" s="236">
        <f t="shared" si="241"/>
        <v>2919.8103801706461</v>
      </c>
      <c r="E327" s="236">
        <f t="shared" si="242"/>
        <v>160.15250019863055</v>
      </c>
      <c r="F327" s="237">
        <f t="shared" si="243"/>
        <v>4.9924477255700825</v>
      </c>
      <c r="G327" s="238">
        <f t="shared" si="244"/>
        <v>2773.8666483340498</v>
      </c>
      <c r="H327" s="118">
        <v>0</v>
      </c>
      <c r="I327" s="239">
        <f t="shared" si="245"/>
        <v>349.01150581133709</v>
      </c>
      <c r="J327" s="154">
        <f t="shared" si="311"/>
        <v>0.13341935483870973</v>
      </c>
      <c r="K327" s="149">
        <f t="shared" si="183"/>
        <v>0.19441153824144758</v>
      </c>
      <c r="L327" s="240">
        <f t="shared" si="184"/>
        <v>349.01150581133709</v>
      </c>
      <c r="M327" s="154">
        <f t="shared" si="185"/>
        <v>0.54889701900952736</v>
      </c>
      <c r="N327" s="241">
        <f t="shared" si="186"/>
        <v>349.01150581133709</v>
      </c>
      <c r="O327" s="150">
        <f t="shared" si="187"/>
        <v>0.70272893482403698</v>
      </c>
      <c r="P327" s="150">
        <f t="shared" si="188"/>
        <v>3.8887080685358044</v>
      </c>
      <c r="Q327" s="152">
        <f t="shared" si="189"/>
        <v>3.0769558502733539E-5</v>
      </c>
      <c r="R327" s="152">
        <f t="shared" si="246"/>
        <v>526.29533262028826</v>
      </c>
      <c r="S327" s="153">
        <f t="shared" si="190"/>
        <v>0.12160472653511967</v>
      </c>
      <c r="T327" s="154">
        <f t="shared" si="191"/>
        <v>0.80685147165225668</v>
      </c>
      <c r="U327" s="155">
        <f t="shared" si="192"/>
        <v>0.68223010406037476</v>
      </c>
      <c r="V327" s="154">
        <f t="shared" si="193"/>
        <v>4.7675657084467832E-2</v>
      </c>
      <c r="W327" s="154">
        <f t="shared" si="247"/>
        <v>0.38454366365336312</v>
      </c>
      <c r="X327" s="154">
        <f t="shared" si="248"/>
        <v>0.26041265115931828</v>
      </c>
      <c r="Y327" s="154">
        <f t="shared" si="194"/>
        <v>5.8560000000000008</v>
      </c>
      <c r="Z327" s="154">
        <f t="shared" si="195"/>
        <v>36.799607404979831</v>
      </c>
      <c r="AA327" s="154">
        <f t="shared" si="196"/>
        <v>0.73411953936830476</v>
      </c>
      <c r="AB327" s="1"/>
      <c r="AC327" s="242">
        <f t="shared" si="197"/>
        <v>0.11874124739833905</v>
      </c>
      <c r="AD327" s="263">
        <f t="shared" si="198"/>
        <v>2.1863122211012245</v>
      </c>
      <c r="AE327" s="282">
        <f t="shared" si="199"/>
        <v>230.38500223514279</v>
      </c>
      <c r="AF327" s="243">
        <f t="shared" si="200"/>
        <v>0.34217140715938882</v>
      </c>
      <c r="AG327" s="243">
        <f t="shared" si="201"/>
        <v>21.313088906419132</v>
      </c>
      <c r="AH327" s="264">
        <f t="shared" si="202"/>
        <v>1.7380079858147431E-5</v>
      </c>
      <c r="AI327" s="264">
        <f t="shared" si="203"/>
        <v>12121.616234754518</v>
      </c>
      <c r="AJ327" s="245">
        <f t="shared" si="204"/>
        <v>4.4261810531538485E-2</v>
      </c>
      <c r="AK327" s="264">
        <f t="shared" si="205"/>
        <v>58.962594713704114</v>
      </c>
      <c r="AL327" s="246">
        <f t="shared" si="206"/>
        <v>0.98338684335000115</v>
      </c>
      <c r="AM327" s="263">
        <f t="shared" si="207"/>
        <v>3.7673202454443284E-2</v>
      </c>
      <c r="AN327" s="263">
        <f t="shared" si="249"/>
        <v>1.0930581337416974</v>
      </c>
      <c r="AO327" s="263">
        <f t="shared" si="250"/>
        <v>1.0293722089390891</v>
      </c>
      <c r="AP327" s="235">
        <f t="shared" si="208"/>
        <v>43.474886480636307</v>
      </c>
      <c r="AQ327" s="235">
        <f t="shared" si="209"/>
        <v>362.25740955254162</v>
      </c>
      <c r="AR327" s="263">
        <f t="shared" si="210"/>
        <v>5.1454204571053461</v>
      </c>
      <c r="AT327" s="242">
        <f t="shared" si="211"/>
        <v>0.11681491390685297</v>
      </c>
      <c r="AU327" s="263">
        <f t="shared" si="212"/>
        <v>2.6720530356423922</v>
      </c>
      <c r="AV327" s="282">
        <f t="shared" si="213"/>
        <v>160.15250019863055</v>
      </c>
      <c r="AW327" s="243">
        <f t="shared" si="214"/>
        <v>0.27996956617446955</v>
      </c>
      <c r="AX327" s="243">
        <f t="shared" si="215"/>
        <v>17.438675851102115</v>
      </c>
      <c r="AY327" s="264">
        <f t="shared" si="216"/>
        <v>1.4465944811361812E-5</v>
      </c>
      <c r="AZ327" s="264">
        <f t="shared" si="217"/>
        <v>14563.491076253951</v>
      </c>
      <c r="BA327" s="245">
        <f t="shared" si="218"/>
        <v>4.3543753328259466E-2</v>
      </c>
      <c r="BB327" s="264">
        <f t="shared" si="219"/>
        <v>47.461382181404069</v>
      </c>
      <c r="BC327" s="246">
        <f t="shared" si="220"/>
        <v>1.0516072742246731</v>
      </c>
      <c r="BD327" s="263">
        <f t="shared" si="221"/>
        <v>3.2059708239989486E-2</v>
      </c>
      <c r="BE327" s="263">
        <f t="shared" si="251"/>
        <v>1.0752896739083733</v>
      </c>
      <c r="BF327" s="263">
        <f t="shared" si="252"/>
        <v>1.023134782413988</v>
      </c>
      <c r="BG327" s="235">
        <f t="shared" si="222"/>
        <v>51.406082991388253</v>
      </c>
      <c r="BH327" s="235">
        <f t="shared" si="223"/>
        <v>364.51915917557142</v>
      </c>
      <c r="BI327" s="263">
        <f t="shared" si="224"/>
        <v>5.1775458256204097</v>
      </c>
      <c r="BJ327" s="247">
        <f t="shared" si="312"/>
        <v>247.18221471233807</v>
      </c>
      <c r="BK327" s="248">
        <f t="shared" si="253"/>
        <v>0.90670425728064963</v>
      </c>
      <c r="BL327" s="94">
        <f t="shared" si="254"/>
        <v>7.1395565138663254E-3</v>
      </c>
      <c r="BM327" s="249">
        <f t="shared" si="255"/>
        <v>1.0482967414239412</v>
      </c>
      <c r="BN327" s="247">
        <f t="shared" si="256"/>
        <v>248.18221471233807</v>
      </c>
      <c r="BO327" s="248">
        <f t="shared" si="257"/>
        <v>0.89780009770637592</v>
      </c>
      <c r="BP327" s="94">
        <f t="shared" si="258"/>
        <v>7.0868396413243644E-3</v>
      </c>
      <c r="BQ327" s="249">
        <f t="shared" si="259"/>
        <v>1.1107057121294772</v>
      </c>
      <c r="BR327" s="247">
        <f t="shared" si="260"/>
        <v>245.29821931405749</v>
      </c>
      <c r="BS327" s="248">
        <f t="shared" si="261"/>
        <v>0.92347965294413703</v>
      </c>
      <c r="BT327" s="94">
        <f t="shared" si="262"/>
        <v>7.2380522073045312E-3</v>
      </c>
      <c r="BU327" s="249">
        <f t="shared" si="263"/>
        <v>0.93071852780328446</v>
      </c>
      <c r="BV327" s="283">
        <f t="shared" si="264"/>
        <v>0.93071811647736302</v>
      </c>
      <c r="BW327" s="282">
        <f t="shared" si="265"/>
        <v>2921.0545001638943</v>
      </c>
      <c r="BX327" s="265">
        <f t="shared" si="225"/>
        <v>230.98284714906055</v>
      </c>
      <c r="BY327" s="265">
        <f t="shared" si="226"/>
        <v>230.23442215722952</v>
      </c>
      <c r="BZ327" s="284">
        <f t="shared" si="313"/>
        <v>187.35728496562126</v>
      </c>
      <c r="CA327" s="248">
        <f t="shared" si="266"/>
        <v>1.4393949782651259</v>
      </c>
      <c r="CB327" s="94">
        <f t="shared" si="267"/>
        <v>9.7821609201239924E-3</v>
      </c>
      <c r="CC327" s="249">
        <f t="shared" si="268"/>
        <v>1.7084229499200068</v>
      </c>
      <c r="CD327" s="247">
        <f t="shared" si="269"/>
        <v>188.35728496562126</v>
      </c>
      <c r="CE327" s="248">
        <f t="shared" si="270"/>
        <v>1.4304908186908523</v>
      </c>
      <c r="CF327" s="94">
        <f t="shared" si="271"/>
        <v>9.7456072583675148E-3</v>
      </c>
      <c r="CG327" s="249">
        <f t="shared" si="272"/>
        <v>1.7712215702565639</v>
      </c>
      <c r="CH327" s="247">
        <f t="shared" si="273"/>
        <v>183.74356571532397</v>
      </c>
      <c r="CI327" s="248">
        <f t="shared" si="274"/>
        <v>1.4715721111263975</v>
      </c>
      <c r="CJ327" s="94">
        <f t="shared" si="275"/>
        <v>9.9122837383944437E-3</v>
      </c>
      <c r="CK327" s="249">
        <f t="shared" si="276"/>
        <v>1.4814863667176785</v>
      </c>
      <c r="CL327" s="249">
        <f t="shared" si="277"/>
        <v>1.4814853807912352</v>
      </c>
      <c r="CM327" s="249">
        <f t="shared" si="278"/>
        <v>2771.8812752923518</v>
      </c>
      <c r="CN327" s="265">
        <f t="shared" si="227"/>
        <v>159.20036047940278</v>
      </c>
      <c r="CO327" s="265">
        <f t="shared" si="228"/>
        <v>160.29917034106006</v>
      </c>
      <c r="CP327" s="94">
        <f t="shared" si="279"/>
        <v>2.9600691252678033E-2</v>
      </c>
      <c r="CQ327" s="157">
        <f t="shared" si="229"/>
        <v>4.6472269071284655</v>
      </c>
      <c r="CR327" s="285">
        <f t="shared" si="230"/>
        <v>7.0890320815761854</v>
      </c>
      <c r="CS327" s="157">
        <f t="shared" si="231"/>
        <v>16.557137477225695</v>
      </c>
      <c r="CT327" s="143">
        <f t="shared" si="232"/>
        <v>340.73293707272421</v>
      </c>
      <c r="CU327" s="247">
        <f t="shared" si="280"/>
        <v>245.29821931405749</v>
      </c>
      <c r="CV327" s="248">
        <f t="shared" si="281"/>
        <v>0.84976595584893488</v>
      </c>
      <c r="CW327" s="94">
        <f t="shared" si="282"/>
        <v>6.5087596725229742E-3</v>
      </c>
      <c r="CX327" s="249">
        <f t="shared" si="283"/>
        <v>0.9401160754746114</v>
      </c>
      <c r="CY327" s="247">
        <f t="shared" si="284"/>
        <v>246.29821931405749</v>
      </c>
      <c r="CZ327" s="248">
        <f t="shared" si="285"/>
        <v>0.84086179627466118</v>
      </c>
      <c r="DA327" s="94">
        <f t="shared" si="286"/>
        <v>6.4566129712843746E-3</v>
      </c>
      <c r="DB327" s="249">
        <f t="shared" si="287"/>
        <v>1.0025250461801472</v>
      </c>
      <c r="DC327" s="247">
        <f t="shared" si="288"/>
        <v>244.1233992404884</v>
      </c>
      <c r="DD327" s="248">
        <f t="shared" si="289"/>
        <v>0.86022674125505394</v>
      </c>
      <c r="DE327" s="94">
        <f t="shared" si="290"/>
        <v>6.5696382677424984E-3</v>
      </c>
      <c r="DF327" s="249">
        <f t="shared" si="291"/>
        <v>0.86679676391896232</v>
      </c>
      <c r="DG327" s="283">
        <f t="shared" si="292"/>
        <v>0.86679657172087943</v>
      </c>
      <c r="DH327" s="282">
        <f t="shared" si="293"/>
        <v>2910.7132522595643</v>
      </c>
      <c r="DI327" s="265">
        <f t="shared" si="233"/>
        <v>226.00289272244692</v>
      </c>
      <c r="DJ327" s="265">
        <f t="shared" si="234"/>
        <v>225.30656103293441</v>
      </c>
      <c r="DK327" s="284">
        <f t="shared" si="294"/>
        <v>183.74356571532397</v>
      </c>
      <c r="DL327" s="248">
        <f t="shared" si="295"/>
        <v>1.4715721111263975</v>
      </c>
      <c r="DM327" s="94">
        <f t="shared" si="296"/>
        <v>9.9122837383944437E-3</v>
      </c>
      <c r="DN327" s="249">
        <f t="shared" si="297"/>
        <v>1.4814863667176785</v>
      </c>
      <c r="DO327" s="247">
        <f t="shared" si="298"/>
        <v>184.74356571532397</v>
      </c>
      <c r="DP327" s="248">
        <f t="shared" si="299"/>
        <v>1.4626679515521239</v>
      </c>
      <c r="DQ327" s="94">
        <f t="shared" si="300"/>
        <v>9.8765832354356046E-3</v>
      </c>
      <c r="DR327" s="249">
        <f t="shared" si="301"/>
        <v>1.5442849870542359</v>
      </c>
      <c r="DS327" s="247">
        <f t="shared" si="302"/>
        <v>183.74353822864074</v>
      </c>
      <c r="DT327" s="248">
        <f t="shared" si="303"/>
        <v>1.4715723558722109</v>
      </c>
      <c r="DU327" s="94">
        <f t="shared" si="304"/>
        <v>9.9122847164659755E-3</v>
      </c>
      <c r="DV327" s="249">
        <f t="shared" si="305"/>
        <v>1.4814846405918944</v>
      </c>
      <c r="DW327" s="249">
        <f t="shared" si="306"/>
        <v>1.4814846405902857</v>
      </c>
      <c r="DX327" s="249">
        <f t="shared" si="307"/>
        <v>2771.8863015153756</v>
      </c>
      <c r="DY327" s="265">
        <f t="shared" si="235"/>
        <v>159.20278048167836</v>
      </c>
      <c r="DZ327" s="265">
        <f t="shared" si="236"/>
        <v>160.30158699426642</v>
      </c>
      <c r="EA327" s="94">
        <f t="shared" si="308"/>
        <v>2.7576175176124439E-2</v>
      </c>
      <c r="EB327" s="157">
        <f t="shared" si="237"/>
        <v>4.4425976839921848</v>
      </c>
      <c r="EC327" s="285">
        <f t="shared" si="309"/>
        <v>6.8184550714810825</v>
      </c>
      <c r="ED327" s="157">
        <f t="shared" si="310"/>
        <v>15.925178035828269</v>
      </c>
      <c r="EE327" s="143">
        <f t="shared" si="238"/>
        <v>341.04891679342296</v>
      </c>
    </row>
    <row r="328" spans="1:135" ht="12" customHeight="1" x14ac:dyDescent="0.2">
      <c r="A328" s="200" t="s">
        <v>442</v>
      </c>
      <c r="B328" s="236">
        <f t="shared" si="239"/>
        <v>230.98284714906055</v>
      </c>
      <c r="C328" s="237">
        <f t="shared" si="240"/>
        <v>4.9730187863556576</v>
      </c>
      <c r="D328" s="236">
        <f t="shared" si="241"/>
        <v>2921.0545001638943</v>
      </c>
      <c r="E328" s="236">
        <f t="shared" si="242"/>
        <v>159.20036047940278</v>
      </c>
      <c r="F328" s="237">
        <f t="shared" si="243"/>
        <v>4.9929223393918969</v>
      </c>
      <c r="G328" s="238">
        <f t="shared" si="244"/>
        <v>2771.8863015153756</v>
      </c>
      <c r="H328" s="118">
        <v>0</v>
      </c>
      <c r="I328" s="239">
        <f t="shared" si="245"/>
        <v>333.08632777550883</v>
      </c>
      <c r="J328" s="154">
        <f t="shared" si="311"/>
        <v>0.14554838709677426</v>
      </c>
      <c r="K328" s="149">
        <f t="shared" si="183"/>
        <v>0.19117713120872373</v>
      </c>
      <c r="L328" s="240">
        <f t="shared" si="184"/>
        <v>333.08632777550883</v>
      </c>
      <c r="M328" s="154">
        <f t="shared" si="185"/>
        <v>0.56499682954601693</v>
      </c>
      <c r="N328" s="241">
        <f t="shared" si="186"/>
        <v>333.08632777550883</v>
      </c>
      <c r="O328" s="150">
        <f t="shared" si="187"/>
        <v>0.68270439288409923</v>
      </c>
      <c r="P328" s="150">
        <f t="shared" si="188"/>
        <v>3.7778977774666482</v>
      </c>
      <c r="Q328" s="152">
        <f t="shared" si="189"/>
        <v>3.0257648163896306E-5</v>
      </c>
      <c r="R328" s="152">
        <f t="shared" si="246"/>
        <v>535.19939616781733</v>
      </c>
      <c r="S328" s="153">
        <f t="shared" si="190"/>
        <v>0.11958159978927206</v>
      </c>
      <c r="T328" s="154">
        <f t="shared" si="191"/>
        <v>0.77081891045205431</v>
      </c>
      <c r="U328" s="155">
        <f t="shared" si="192"/>
        <v>0.68193179068132759</v>
      </c>
      <c r="V328" s="154">
        <f t="shared" si="193"/>
        <v>4.6878299345391949E-2</v>
      </c>
      <c r="W328" s="154">
        <f t="shared" si="247"/>
        <v>0.37355064038367125</v>
      </c>
      <c r="X328" s="154">
        <f t="shared" si="248"/>
        <v>0.2526273844170604</v>
      </c>
      <c r="Y328" s="154">
        <f t="shared" si="194"/>
        <v>5.8560000000000008</v>
      </c>
      <c r="Z328" s="154">
        <f t="shared" si="195"/>
        <v>36.184147575924342</v>
      </c>
      <c r="AA328" s="154">
        <f t="shared" si="196"/>
        <v>0.72184166147592344</v>
      </c>
      <c r="AB328" s="1"/>
      <c r="AC328" s="242">
        <f t="shared" si="197"/>
        <v>0.11875734046271073</v>
      </c>
      <c r="AD328" s="263">
        <f t="shared" si="198"/>
        <v>2.1832110782491521</v>
      </c>
      <c r="AE328" s="282">
        <f t="shared" si="199"/>
        <v>230.98284714906055</v>
      </c>
      <c r="AF328" s="243">
        <f t="shared" si="200"/>
        <v>0.34265744464063269</v>
      </c>
      <c r="AG328" s="243">
        <f t="shared" si="201"/>
        <v>21.34336309015529</v>
      </c>
      <c r="AH328" s="264">
        <f t="shared" si="202"/>
        <v>1.7404896965634225E-5</v>
      </c>
      <c r="AI328" s="264">
        <f t="shared" si="203"/>
        <v>12104.332394832596</v>
      </c>
      <c r="AJ328" s="245">
        <f t="shared" si="204"/>
        <v>4.4267809358245279E-2</v>
      </c>
      <c r="AK328" s="264">
        <f t="shared" si="205"/>
        <v>59.054350732569667</v>
      </c>
      <c r="AL328" s="246">
        <f t="shared" si="206"/>
        <v>0.98292043441280508</v>
      </c>
      <c r="AM328" s="263">
        <f t="shared" si="207"/>
        <v>3.7724628199377663E-2</v>
      </c>
      <c r="AN328" s="263">
        <f t="shared" si="249"/>
        <v>1.0875973308583209</v>
      </c>
      <c r="AO328" s="263">
        <f t="shared" si="250"/>
        <v>1.0275284991411802</v>
      </c>
      <c r="AP328" s="235">
        <f t="shared" si="208"/>
        <v>43.339283859178884</v>
      </c>
      <c r="AQ328" s="235">
        <f t="shared" si="209"/>
        <v>361.62044811439733</v>
      </c>
      <c r="AR328" s="263">
        <f t="shared" si="210"/>
        <v>5.1363732041636787</v>
      </c>
      <c r="AT328" s="242">
        <f t="shared" si="211"/>
        <v>0.11678828289354382</v>
      </c>
      <c r="AU328" s="263">
        <f t="shared" si="212"/>
        <v>2.672292349439684</v>
      </c>
      <c r="AV328" s="282">
        <f t="shared" si="213"/>
        <v>159.20036047940278</v>
      </c>
      <c r="AW328" s="243">
        <f t="shared" si="214"/>
        <v>0.27994449385032005</v>
      </c>
      <c r="AX328" s="243">
        <f t="shared" si="215"/>
        <v>17.437114152308741</v>
      </c>
      <c r="AY328" s="264">
        <f t="shared" si="216"/>
        <v>1.442645545219244E-5</v>
      </c>
      <c r="AZ328" s="264">
        <f t="shared" si="217"/>
        <v>14603.355541352532</v>
      </c>
      <c r="BA328" s="245">
        <f t="shared" si="218"/>
        <v>4.3533826391401555E-2</v>
      </c>
      <c r="BB328" s="264">
        <f t="shared" si="219"/>
        <v>47.446312742925819</v>
      </c>
      <c r="BC328" s="246">
        <f t="shared" si="220"/>
        <v>1.0527261885890631</v>
      </c>
      <c r="BD328" s="263">
        <f t="shared" si="221"/>
        <v>3.198980410749111E-2</v>
      </c>
      <c r="BE328" s="263">
        <f t="shared" si="251"/>
        <v>1.0790150233008293</v>
      </c>
      <c r="BF328" s="263">
        <f t="shared" si="252"/>
        <v>1.0243223276316091</v>
      </c>
      <c r="BG328" s="235">
        <f t="shared" si="222"/>
        <v>51.600364954579433</v>
      </c>
      <c r="BH328" s="235">
        <f t="shared" si="223"/>
        <v>365.09899291605007</v>
      </c>
      <c r="BI328" s="263">
        <f t="shared" si="224"/>
        <v>5.1857816499577618</v>
      </c>
      <c r="BJ328" s="247">
        <f t="shared" si="312"/>
        <v>245.29821931405749</v>
      </c>
      <c r="BK328" s="248">
        <f t="shared" si="253"/>
        <v>0.76860602871566586</v>
      </c>
      <c r="BL328" s="94">
        <f t="shared" si="254"/>
        <v>5.8608515121940244E-3</v>
      </c>
      <c r="BM328" s="249">
        <f t="shared" si="255"/>
        <v>0.8918367529827832</v>
      </c>
      <c r="BN328" s="247">
        <f t="shared" si="256"/>
        <v>246.29821931405749</v>
      </c>
      <c r="BO328" s="248">
        <f t="shared" si="257"/>
        <v>0.75985078791840943</v>
      </c>
      <c r="BP328" s="94">
        <f t="shared" si="258"/>
        <v>5.8087048109554239E-3</v>
      </c>
      <c r="BQ328" s="249">
        <f t="shared" si="259"/>
        <v>0.95413598926554266</v>
      </c>
      <c r="BR328" s="247">
        <f t="shared" si="260"/>
        <v>243.64760131936845</v>
      </c>
      <c r="BS328" s="248">
        <f t="shared" si="261"/>
        <v>0.78305758672345283</v>
      </c>
      <c r="BT328" s="94">
        <f t="shared" si="262"/>
        <v>5.946267967586856E-3</v>
      </c>
      <c r="BU328" s="249">
        <f t="shared" si="263"/>
        <v>0.78900451251907588</v>
      </c>
      <c r="BV328" s="283">
        <f t="shared" si="264"/>
        <v>0.78900418360505786</v>
      </c>
      <c r="BW328" s="282">
        <f t="shared" si="265"/>
        <v>2922.1091867142054</v>
      </c>
      <c r="BX328" s="265">
        <f t="shared" si="225"/>
        <v>231.48947199956123</v>
      </c>
      <c r="BY328" s="265">
        <f t="shared" si="226"/>
        <v>230.86194707839536</v>
      </c>
      <c r="BZ328" s="284">
        <f t="shared" si="313"/>
        <v>183.74356571532397</v>
      </c>
      <c r="CA328" s="248">
        <f t="shared" si="266"/>
        <v>1.3075318431642813</v>
      </c>
      <c r="CB328" s="94">
        <f t="shared" si="267"/>
        <v>8.5350830432839395E-3</v>
      </c>
      <c r="CC328" s="249">
        <f t="shared" si="268"/>
        <v>1.5437311115222225</v>
      </c>
      <c r="CD328" s="247">
        <f t="shared" si="269"/>
        <v>184.74356571532397</v>
      </c>
      <c r="CE328" s="248">
        <f t="shared" si="270"/>
        <v>1.2987766023670246</v>
      </c>
      <c r="CF328" s="94">
        <f t="shared" si="271"/>
        <v>8.4993825403251004E-3</v>
      </c>
      <c r="CG328" s="249">
        <f t="shared" si="272"/>
        <v>1.6066296244378393</v>
      </c>
      <c r="CH328" s="247">
        <f t="shared" si="273"/>
        <v>180.56786591672824</v>
      </c>
      <c r="CI328" s="248">
        <f t="shared" si="274"/>
        <v>1.3353358596007854</v>
      </c>
      <c r="CJ328" s="94">
        <f t="shared" si="275"/>
        <v>8.6469123767870283E-3</v>
      </c>
      <c r="CK328" s="249">
        <f t="shared" si="276"/>
        <v>1.3439843167241274</v>
      </c>
      <c r="CL328" s="249">
        <f t="shared" si="277"/>
        <v>1.3439835443508499</v>
      </c>
      <c r="CM328" s="249">
        <f t="shared" si="278"/>
        <v>2770.0847304862273</v>
      </c>
      <c r="CN328" s="265">
        <f t="shared" si="227"/>
        <v>158.33672516326087</v>
      </c>
      <c r="CO328" s="265">
        <f t="shared" si="228"/>
        <v>159.31794775216048</v>
      </c>
      <c r="CP328" s="94">
        <f t="shared" si="279"/>
        <v>2.5777582123051271E-2</v>
      </c>
      <c r="CQ328" s="157">
        <f t="shared" si="229"/>
        <v>4.1824494939863799</v>
      </c>
      <c r="CR328" s="285">
        <f t="shared" si="230"/>
        <v>6.3412155764386169</v>
      </c>
      <c r="CS328" s="157">
        <f t="shared" si="231"/>
        <v>14.810537865202464</v>
      </c>
      <c r="CT328" s="143">
        <f t="shared" si="232"/>
        <v>325.68105884290759</v>
      </c>
      <c r="CU328" s="247">
        <f t="shared" si="280"/>
        <v>243.64760131936845</v>
      </c>
      <c r="CV328" s="248">
        <f t="shared" si="281"/>
        <v>0.71822267405008733</v>
      </c>
      <c r="CW328" s="94">
        <f t="shared" si="282"/>
        <v>5.3417518696079191E-3</v>
      </c>
      <c r="CX328" s="249">
        <f t="shared" si="283"/>
        <v>0.79653649458804865</v>
      </c>
      <c r="CY328" s="247">
        <f t="shared" si="284"/>
        <v>244.64760131936845</v>
      </c>
      <c r="CZ328" s="248">
        <f t="shared" si="285"/>
        <v>0.7094674332528309</v>
      </c>
      <c r="DA328" s="94">
        <f t="shared" si="286"/>
        <v>5.2901013188692211E-3</v>
      </c>
      <c r="DB328" s="249">
        <f t="shared" si="287"/>
        <v>0.85883573087080811</v>
      </c>
      <c r="DC328" s="247">
        <f t="shared" si="288"/>
        <v>242.62135968450841</v>
      </c>
      <c r="DD328" s="248">
        <f t="shared" si="289"/>
        <v>0.72720766667945702</v>
      </c>
      <c r="DE328" s="94">
        <f t="shared" si="290"/>
        <v>5.3944469032010511E-3</v>
      </c>
      <c r="DF328" s="249">
        <f t="shared" si="291"/>
        <v>0.73260242449469737</v>
      </c>
      <c r="DG328" s="283">
        <f t="shared" si="292"/>
        <v>0.73260226903867776</v>
      </c>
      <c r="DH328" s="282">
        <f t="shared" si="293"/>
        <v>2911.6925446079927</v>
      </c>
      <c r="DI328" s="265">
        <f t="shared" si="233"/>
        <v>226.47318222854665</v>
      </c>
      <c r="DJ328" s="265">
        <f t="shared" si="234"/>
        <v>225.88987163074052</v>
      </c>
      <c r="DK328" s="284">
        <f t="shared" si="294"/>
        <v>180.56786591672824</v>
      </c>
      <c r="DL328" s="248">
        <f t="shared" si="295"/>
        <v>1.3353358596007854</v>
      </c>
      <c r="DM328" s="94">
        <f t="shared" si="296"/>
        <v>8.6469123767870283E-3</v>
      </c>
      <c r="DN328" s="249">
        <f t="shared" si="297"/>
        <v>1.3439843167241274</v>
      </c>
      <c r="DO328" s="247">
        <f t="shared" si="298"/>
        <v>181.56786591672824</v>
      </c>
      <c r="DP328" s="248">
        <f t="shared" si="299"/>
        <v>1.326580618803529</v>
      </c>
      <c r="DQ328" s="94">
        <f t="shared" si="300"/>
        <v>8.6119505724355418E-3</v>
      </c>
      <c r="DR328" s="249">
        <f t="shared" si="301"/>
        <v>1.4068828296397442</v>
      </c>
      <c r="DS328" s="247">
        <f t="shared" si="302"/>
        <v>180.56784436875455</v>
      </c>
      <c r="DT328" s="248">
        <f t="shared" si="303"/>
        <v>1.3353360482584835</v>
      </c>
      <c r="DU328" s="94">
        <f t="shared" si="304"/>
        <v>8.6469131276561539E-3</v>
      </c>
      <c r="DV328" s="249">
        <f t="shared" si="305"/>
        <v>1.3439829613886261</v>
      </c>
      <c r="DW328" s="249">
        <f t="shared" si="306"/>
        <v>1.3439829613873828</v>
      </c>
      <c r="DX328" s="249">
        <f t="shared" si="307"/>
        <v>2770.0897574885166</v>
      </c>
      <c r="DY328" s="265">
        <f t="shared" si="235"/>
        <v>158.33914552972706</v>
      </c>
      <c r="DZ328" s="265">
        <f t="shared" si="236"/>
        <v>159.32036626199675</v>
      </c>
      <c r="EA328" s="94">
        <f t="shared" si="308"/>
        <v>2.4099445435061748E-2</v>
      </c>
      <c r="EB328" s="157">
        <f t="shared" si="237"/>
        <v>4.0024677764051173</v>
      </c>
      <c r="EC328" s="285">
        <f t="shared" si="309"/>
        <v>6.1031524522674827</v>
      </c>
      <c r="ED328" s="157">
        <f t="shared" si="310"/>
        <v>14.254517828926522</v>
      </c>
      <c r="EE328" s="143">
        <f t="shared" si="238"/>
        <v>325.95906886104558</v>
      </c>
    </row>
    <row r="329" spans="1:135" ht="12" customHeight="1" x14ac:dyDescent="0.2">
      <c r="A329" s="200" t="s">
        <v>442</v>
      </c>
      <c r="B329" s="236">
        <f t="shared" si="239"/>
        <v>231.48947199956123</v>
      </c>
      <c r="C329" s="237">
        <f t="shared" si="240"/>
        <v>4.9724282428483315</v>
      </c>
      <c r="D329" s="236">
        <f t="shared" si="241"/>
        <v>2922.1091867142054</v>
      </c>
      <c r="E329" s="236">
        <f t="shared" si="242"/>
        <v>158.33672516326087</v>
      </c>
      <c r="F329" s="237">
        <f t="shared" si="243"/>
        <v>4.9933968025193263</v>
      </c>
      <c r="G329" s="238">
        <f t="shared" si="244"/>
        <v>2770.0897574885166</v>
      </c>
      <c r="H329" s="118">
        <v>0</v>
      </c>
      <c r="I329" s="239">
        <f t="shared" si="245"/>
        <v>318.83180994658233</v>
      </c>
      <c r="J329" s="154">
        <f t="shared" si="311"/>
        <v>0.15767741935483878</v>
      </c>
      <c r="K329" s="149">
        <f t="shared" si="183"/>
        <v>0.18825807704661002</v>
      </c>
      <c r="L329" s="240">
        <f t="shared" si="184"/>
        <v>318.83180994658233</v>
      </c>
      <c r="M329" s="154">
        <f t="shared" si="185"/>
        <v>0.58050239525293923</v>
      </c>
      <c r="N329" s="241">
        <f t="shared" si="186"/>
        <v>318.83180994658233</v>
      </c>
      <c r="O329" s="150">
        <f t="shared" si="187"/>
        <v>0.6644689507759638</v>
      </c>
      <c r="P329" s="150">
        <f t="shared" si="188"/>
        <v>3.6769878713205748</v>
      </c>
      <c r="Q329" s="152">
        <f t="shared" si="189"/>
        <v>2.9795648795822495E-5</v>
      </c>
      <c r="R329" s="152">
        <f t="shared" si="246"/>
        <v>543.49798313658584</v>
      </c>
      <c r="S329" s="153">
        <f t="shared" si="190"/>
        <v>0.11775572676580887</v>
      </c>
      <c r="T329" s="154">
        <f t="shared" si="191"/>
        <v>0.73877473254494763</v>
      </c>
      <c r="U329" s="155">
        <f t="shared" si="192"/>
        <v>0.68172014653173241</v>
      </c>
      <c r="V329" s="154">
        <f t="shared" si="193"/>
        <v>4.6164589892215432E-2</v>
      </c>
      <c r="W329" s="154">
        <f t="shared" si="247"/>
        <v>0.36371576705278968</v>
      </c>
      <c r="X329" s="154">
        <f t="shared" si="248"/>
        <v>0.24569728708221081</v>
      </c>
      <c r="Y329" s="154">
        <f t="shared" si="194"/>
        <v>5.8560000000000008</v>
      </c>
      <c r="Z329" s="154">
        <f t="shared" si="195"/>
        <v>35.633253696652034</v>
      </c>
      <c r="AA329" s="154">
        <f t="shared" si="196"/>
        <v>0.71085181703433631</v>
      </c>
      <c r="AB329" s="1"/>
      <c r="AC329" s="242">
        <f t="shared" si="197"/>
        <v>0.11877097421156881</v>
      </c>
      <c r="AD329" s="263">
        <f t="shared" si="198"/>
        <v>2.1805493458321559</v>
      </c>
      <c r="AE329" s="282">
        <f t="shared" si="199"/>
        <v>231.48947199956123</v>
      </c>
      <c r="AF329" s="243">
        <f t="shared" si="200"/>
        <v>0.34307571649954216</v>
      </c>
      <c r="AG329" s="243">
        <f t="shared" si="201"/>
        <v>21.369416305384458</v>
      </c>
      <c r="AH329" s="264">
        <f t="shared" si="202"/>
        <v>1.7425927586321298E-5</v>
      </c>
      <c r="AI329" s="264">
        <f t="shared" si="203"/>
        <v>12089.724184049843</v>
      </c>
      <c r="AJ329" s="245">
        <f t="shared" si="204"/>
        <v>4.4272891454164028E-2</v>
      </c>
      <c r="AK329" s="264">
        <f t="shared" si="205"/>
        <v>59.133224557800709</v>
      </c>
      <c r="AL329" s="246">
        <f t="shared" si="206"/>
        <v>0.98252603806656147</v>
      </c>
      <c r="AM329" s="263">
        <f t="shared" si="207"/>
        <v>3.7768227140705948E-2</v>
      </c>
      <c r="AN329" s="263">
        <f t="shared" si="249"/>
        <v>1.0828546740505087</v>
      </c>
      <c r="AO329" s="263">
        <f t="shared" si="250"/>
        <v>1.0259427923567612</v>
      </c>
      <c r="AP329" s="235">
        <f t="shared" si="208"/>
        <v>43.223678328027482</v>
      </c>
      <c r="AQ329" s="235">
        <f t="shared" si="209"/>
        <v>361.07265791156135</v>
      </c>
      <c r="AR329" s="263">
        <f t="shared" si="210"/>
        <v>5.1285925188235071</v>
      </c>
      <c r="AT329" s="242">
        <f t="shared" si="211"/>
        <v>0.11676411466871839</v>
      </c>
      <c r="AU329" s="263">
        <f t="shared" si="212"/>
        <v>2.6725315859360688</v>
      </c>
      <c r="AV329" s="282">
        <f t="shared" si="213"/>
        <v>158.33672516326087</v>
      </c>
      <c r="AW329" s="243">
        <f t="shared" si="214"/>
        <v>0.27991943411286235</v>
      </c>
      <c r="AX329" s="243">
        <f t="shared" si="215"/>
        <v>17.435553237512146</v>
      </c>
      <c r="AY329" s="264">
        <f t="shared" si="216"/>
        <v>1.4390637158341312E-5</v>
      </c>
      <c r="AZ329" s="264">
        <f t="shared" si="217"/>
        <v>14639.70329122888</v>
      </c>
      <c r="BA329" s="245">
        <f t="shared" si="218"/>
        <v>4.3524817479910854E-2</v>
      </c>
      <c r="BB329" s="264">
        <f t="shared" si="219"/>
        <v>47.432247816047763</v>
      </c>
      <c r="BC329" s="246">
        <f t="shared" si="220"/>
        <v>1.0537465021803547</v>
      </c>
      <c r="BD329" s="263">
        <f t="shared" si="221"/>
        <v>3.1926564760937255E-2</v>
      </c>
      <c r="BE329" s="263">
        <f t="shared" si="251"/>
        <v>1.0832221537369231</v>
      </c>
      <c r="BF329" s="263">
        <f t="shared" si="252"/>
        <v>1.0256697386818394</v>
      </c>
      <c r="BG329" s="235">
        <f t="shared" si="222"/>
        <v>51.791162177686196</v>
      </c>
      <c r="BH329" s="235">
        <f t="shared" si="223"/>
        <v>365.72456279529831</v>
      </c>
      <c r="BI329" s="263">
        <f t="shared" si="224"/>
        <v>5.1946670998316753</v>
      </c>
      <c r="BJ329" s="247">
        <f t="shared" si="312"/>
        <v>243.64760131936845</v>
      </c>
      <c r="BK329" s="248">
        <f t="shared" si="253"/>
        <v>0.64823408304576813</v>
      </c>
      <c r="BL329" s="94">
        <f t="shared" si="254"/>
        <v>4.8022404700260608E-3</v>
      </c>
      <c r="BM329" s="249">
        <f t="shared" si="255"/>
        <v>0.75629478204006384</v>
      </c>
      <c r="BN329" s="247">
        <f t="shared" si="256"/>
        <v>244.64760131936845</v>
      </c>
      <c r="BO329" s="248">
        <f t="shared" si="257"/>
        <v>0.63961213842625497</v>
      </c>
      <c r="BP329" s="94">
        <f t="shared" si="258"/>
        <v>4.7505899192873628E-3</v>
      </c>
      <c r="BQ329" s="249">
        <f t="shared" si="259"/>
        <v>0.81849964613934256</v>
      </c>
      <c r="BR329" s="247">
        <f t="shared" si="260"/>
        <v>242.19076295707268</v>
      </c>
      <c r="BS329" s="248">
        <f t="shared" si="261"/>
        <v>0.6607948627250646</v>
      </c>
      <c r="BT329" s="94">
        <f t="shared" si="262"/>
        <v>4.8769521097137749E-3</v>
      </c>
      <c r="BU329" s="249">
        <f t="shared" si="263"/>
        <v>0.6656723496988397</v>
      </c>
      <c r="BV329" s="283">
        <f t="shared" si="264"/>
        <v>0.66567208226680896</v>
      </c>
      <c r="BW329" s="282">
        <f t="shared" si="265"/>
        <v>2922.9990113902627</v>
      </c>
      <c r="BX329" s="265">
        <f t="shared" si="225"/>
        <v>231.91670844974954</v>
      </c>
      <c r="BY329" s="265">
        <f t="shared" si="226"/>
        <v>231.38932776407245</v>
      </c>
      <c r="BZ329" s="284">
        <f t="shared" si="313"/>
        <v>180.56786591672824</v>
      </c>
      <c r="CA329" s="248">
        <f t="shared" si="266"/>
        <v>1.1921040683008812</v>
      </c>
      <c r="CB329" s="94">
        <f t="shared" si="267"/>
        <v>7.5028848792262339E-3</v>
      </c>
      <c r="CC329" s="249">
        <f t="shared" si="268"/>
        <v>1.4007015862701724</v>
      </c>
      <c r="CD329" s="247">
        <f t="shared" si="269"/>
        <v>181.56786591672824</v>
      </c>
      <c r="CE329" s="248">
        <f t="shared" si="270"/>
        <v>1.183482123681368</v>
      </c>
      <c r="CF329" s="94">
        <f t="shared" si="271"/>
        <v>7.4679230748747449E-3</v>
      </c>
      <c r="CG329" s="249">
        <f t="shared" si="272"/>
        <v>1.4637078710939373</v>
      </c>
      <c r="CH329" s="247">
        <f t="shared" si="273"/>
        <v>177.76175821221381</v>
      </c>
      <c r="CI329" s="248">
        <f t="shared" si="274"/>
        <v>1.2162981735255942</v>
      </c>
      <c r="CJ329" s="94">
        <f t="shared" si="275"/>
        <v>7.5997639156830396E-3</v>
      </c>
      <c r="CK329" s="249">
        <f t="shared" si="276"/>
        <v>1.223899164993375</v>
      </c>
      <c r="CL329" s="249">
        <f t="shared" si="277"/>
        <v>1.2238985512173262</v>
      </c>
      <c r="CM329" s="249">
        <f t="shared" si="278"/>
        <v>2768.4487070433397</v>
      </c>
      <c r="CN329" s="265">
        <f t="shared" si="227"/>
        <v>157.55038363963783</v>
      </c>
      <c r="CO329" s="265">
        <f t="shared" si="228"/>
        <v>158.43416569589914</v>
      </c>
      <c r="CP329" s="94">
        <f t="shared" si="279"/>
        <v>2.2601761789822511E-2</v>
      </c>
      <c r="CQ329" s="157">
        <f t="shared" si="229"/>
        <v>3.7775978121357769</v>
      </c>
      <c r="CR329" s="285">
        <f t="shared" si="230"/>
        <v>5.6897708211857836</v>
      </c>
      <c r="CS329" s="157">
        <f t="shared" si="231"/>
        <v>13.289024032648246</v>
      </c>
      <c r="CT329" s="143">
        <f t="shared" si="232"/>
        <v>312.18729793025818</v>
      </c>
      <c r="CU329" s="247">
        <f t="shared" si="280"/>
        <v>242.19076295707268</v>
      </c>
      <c r="CV329" s="248">
        <f t="shared" si="281"/>
        <v>0.60350624809662756</v>
      </c>
      <c r="CW329" s="94">
        <f t="shared" si="282"/>
        <v>4.3711641452378732E-3</v>
      </c>
      <c r="CX329" s="249">
        <f t="shared" si="283"/>
        <v>0.6719018082577457</v>
      </c>
      <c r="CY329" s="247">
        <f t="shared" si="284"/>
        <v>243.19076295707268</v>
      </c>
      <c r="CZ329" s="248">
        <f t="shared" si="285"/>
        <v>0.59488430347711441</v>
      </c>
      <c r="DA329" s="94">
        <f t="shared" si="286"/>
        <v>4.3199488745717914E-3</v>
      </c>
      <c r="DB329" s="249">
        <f t="shared" si="287"/>
        <v>0.73410667235702443</v>
      </c>
      <c r="DC329" s="247">
        <f t="shared" si="288"/>
        <v>241.28745904970918</v>
      </c>
      <c r="DD329" s="248">
        <f t="shared" si="289"/>
        <v>0.6112944843605056</v>
      </c>
      <c r="DE329" s="94">
        <f t="shared" si="290"/>
        <v>4.4171714439199799E-3</v>
      </c>
      <c r="DF329" s="249">
        <f t="shared" si="291"/>
        <v>0.61571191145985216</v>
      </c>
      <c r="DG329" s="283">
        <f t="shared" si="292"/>
        <v>0.61571178363213885</v>
      </c>
      <c r="DH329" s="282">
        <f t="shared" si="293"/>
        <v>2912.5155857914979</v>
      </c>
      <c r="DI329" s="265">
        <f t="shared" si="233"/>
        <v>226.86822951858454</v>
      </c>
      <c r="DJ329" s="265">
        <f t="shared" si="234"/>
        <v>226.37905057466253</v>
      </c>
      <c r="DK329" s="284">
        <f t="shared" si="294"/>
        <v>177.76175821221381</v>
      </c>
      <c r="DL329" s="248">
        <f t="shared" si="295"/>
        <v>1.2162981735255942</v>
      </c>
      <c r="DM329" s="94">
        <f t="shared" si="296"/>
        <v>7.5997639156830396E-3</v>
      </c>
      <c r="DN329" s="249">
        <f t="shared" si="297"/>
        <v>1.223899164993375</v>
      </c>
      <c r="DO329" s="247">
        <f t="shared" si="298"/>
        <v>178.76175821221381</v>
      </c>
      <c r="DP329" s="248">
        <f t="shared" si="299"/>
        <v>1.207676228906081</v>
      </c>
      <c r="DQ329" s="94">
        <f t="shared" si="300"/>
        <v>7.5654462978577176E-3</v>
      </c>
      <c r="DR329" s="249">
        <f t="shared" si="301"/>
        <v>1.2869054498171399</v>
      </c>
      <c r="DS329" s="247">
        <f t="shared" si="302"/>
        <v>177.76174108259522</v>
      </c>
      <c r="DT329" s="248">
        <f t="shared" si="303"/>
        <v>1.2162983212162168</v>
      </c>
      <c r="DU329" s="94">
        <f t="shared" si="304"/>
        <v>7.599764501578142E-3</v>
      </c>
      <c r="DV329" s="249">
        <f t="shared" si="305"/>
        <v>1.2238980857197475</v>
      </c>
      <c r="DW329" s="249">
        <f t="shared" si="306"/>
        <v>1.2238980857187713</v>
      </c>
      <c r="DX329" s="249">
        <f t="shared" si="307"/>
        <v>2768.4537346678758</v>
      </c>
      <c r="DY329" s="265">
        <f t="shared" si="235"/>
        <v>157.55280429469485</v>
      </c>
      <c r="DZ329" s="265">
        <f t="shared" si="236"/>
        <v>158.4365852783458</v>
      </c>
      <c r="EA329" s="94">
        <f t="shared" si="308"/>
        <v>2.1197694400437402E-2</v>
      </c>
      <c r="EB329" s="157">
        <f t="shared" si="237"/>
        <v>3.6185646179272353</v>
      </c>
      <c r="EC329" s="285">
        <f t="shared" si="309"/>
        <v>5.4793721816795591</v>
      </c>
      <c r="ED329" s="157">
        <f t="shared" si="310"/>
        <v>12.797617143916652</v>
      </c>
      <c r="EE329" s="143">
        <f t="shared" si="238"/>
        <v>312.43300137462398</v>
      </c>
    </row>
    <row r="330" spans="1:135" ht="12" customHeight="1" x14ac:dyDescent="0.2">
      <c r="A330" s="200" t="s">
        <v>442</v>
      </c>
      <c r="B330" s="236">
        <f t="shared" si="239"/>
        <v>231.91670844974954</v>
      </c>
      <c r="C330" s="237">
        <f t="shared" si="240"/>
        <v>4.9718369106027538</v>
      </c>
      <c r="D330" s="236">
        <f t="shared" si="241"/>
        <v>2922.9990113902627</v>
      </c>
      <c r="E330" s="236">
        <f t="shared" si="242"/>
        <v>157.55038363963783</v>
      </c>
      <c r="F330" s="237">
        <f t="shared" si="243"/>
        <v>4.9938711249974865</v>
      </c>
      <c r="G330" s="238">
        <f t="shared" si="244"/>
        <v>2768.4537346678758</v>
      </c>
      <c r="H330" s="118">
        <v>0</v>
      </c>
      <c r="I330" s="239">
        <f t="shared" si="245"/>
        <v>306.0341928026657</v>
      </c>
      <c r="J330" s="154">
        <f t="shared" si="311"/>
        <v>0.16980645161290331</v>
      </c>
      <c r="K330" s="149">
        <f t="shared" si="183"/>
        <v>0.1856180876761199</v>
      </c>
      <c r="L330" s="240">
        <f t="shared" si="184"/>
        <v>306.0341928026657</v>
      </c>
      <c r="M330" s="154">
        <f t="shared" si="185"/>
        <v>0.59541130123945052</v>
      </c>
      <c r="N330" s="241">
        <f t="shared" si="186"/>
        <v>306.0341928026657</v>
      </c>
      <c r="O330" s="150">
        <f t="shared" si="187"/>
        <v>0.64783086362939379</v>
      </c>
      <c r="P330" s="150">
        <f t="shared" si="188"/>
        <v>3.5849172868809718</v>
      </c>
      <c r="Q330" s="152">
        <f t="shared" si="189"/>
        <v>2.9377817075973612E-5</v>
      </c>
      <c r="R330" s="152">
        <f t="shared" si="246"/>
        <v>551.22798895836229</v>
      </c>
      <c r="S330" s="153">
        <f t="shared" si="190"/>
        <v>0.11610440921357917</v>
      </c>
      <c r="T330" s="154">
        <f t="shared" si="191"/>
        <v>0.71017544426275081</v>
      </c>
      <c r="U330" s="155">
        <f t="shared" si="192"/>
        <v>0.68157648829830375</v>
      </c>
      <c r="V330" s="154">
        <f t="shared" si="193"/>
        <v>4.5523825999436669E-2</v>
      </c>
      <c r="W330" s="154">
        <f t="shared" si="247"/>
        <v>0.35484109522513785</v>
      </c>
      <c r="X330" s="154">
        <f t="shared" si="248"/>
        <v>0.23947036146566425</v>
      </c>
      <c r="Y330" s="154">
        <f t="shared" si="194"/>
        <v>5.8560000000000008</v>
      </c>
      <c r="Z330" s="154">
        <f t="shared" si="195"/>
        <v>35.138664609987359</v>
      </c>
      <c r="AA330" s="154">
        <f t="shared" si="196"/>
        <v>0.70098520328264369</v>
      </c>
      <c r="AB330" s="1"/>
      <c r="AC330" s="242">
        <f t="shared" si="197"/>
        <v>0.11878246882927575</v>
      </c>
      <c r="AD330" s="263">
        <f t="shared" si="198"/>
        <v>2.1782679297704286</v>
      </c>
      <c r="AE330" s="282">
        <f t="shared" si="199"/>
        <v>231.91670844974954</v>
      </c>
      <c r="AF330" s="243">
        <f t="shared" si="200"/>
        <v>0.34343503797662656</v>
      </c>
      <c r="AG330" s="243">
        <f t="shared" si="201"/>
        <v>21.391797633651077</v>
      </c>
      <c r="AH330" s="264">
        <f t="shared" si="202"/>
        <v>1.7443662799725503E-5</v>
      </c>
      <c r="AI330" s="264">
        <f t="shared" si="203"/>
        <v>12077.432394139441</v>
      </c>
      <c r="AJ330" s="245">
        <f t="shared" si="204"/>
        <v>4.4277176170740826E-2</v>
      </c>
      <c r="AK330" s="264">
        <f t="shared" si="205"/>
        <v>59.20088682337488</v>
      </c>
      <c r="AL330" s="246">
        <f t="shared" si="206"/>
        <v>0.98219382429141933</v>
      </c>
      <c r="AM330" s="263">
        <f t="shared" si="207"/>
        <v>3.7804998709258297E-2</v>
      </c>
      <c r="AN330" s="263">
        <f t="shared" si="249"/>
        <v>1.0786909183714908</v>
      </c>
      <c r="AO330" s="263">
        <f t="shared" si="250"/>
        <v>1.0245620945442577</v>
      </c>
      <c r="AP330" s="235">
        <f t="shared" si="208"/>
        <v>43.12456150070242</v>
      </c>
      <c r="AQ330" s="235">
        <f t="shared" si="209"/>
        <v>360.59541534800167</v>
      </c>
      <c r="AR330" s="263">
        <f t="shared" si="210"/>
        <v>5.121813875834329</v>
      </c>
      <c r="AT330" s="242">
        <f t="shared" si="211"/>
        <v>0.11674209896780482</v>
      </c>
      <c r="AU330" s="263">
        <f t="shared" si="212"/>
        <v>2.6727707501978966</v>
      </c>
      <c r="AV330" s="282">
        <f t="shared" si="213"/>
        <v>157.55038363963783</v>
      </c>
      <c r="AW330" s="243">
        <f t="shared" si="214"/>
        <v>0.27989438642599057</v>
      </c>
      <c r="AX330" s="243">
        <f t="shared" si="215"/>
        <v>17.433993073319495</v>
      </c>
      <c r="AY330" s="264">
        <f t="shared" si="216"/>
        <v>1.4358024871241775E-5</v>
      </c>
      <c r="AZ330" s="264">
        <f t="shared" si="217"/>
        <v>14672.9553722823</v>
      </c>
      <c r="BA330" s="245">
        <f t="shared" si="218"/>
        <v>4.3516610940027657E-2</v>
      </c>
      <c r="BB330" s="264">
        <f t="shared" si="219"/>
        <v>47.419061014655533</v>
      </c>
      <c r="BC330" s="246">
        <f t="shared" si="220"/>
        <v>1.0546801200182443</v>
      </c>
      <c r="BD330" s="263">
        <f t="shared" si="221"/>
        <v>3.1869127110933052E-2</v>
      </c>
      <c r="BE330" s="263">
        <f t="shared" si="251"/>
        <v>1.0880181883248468</v>
      </c>
      <c r="BF330" s="263">
        <f t="shared" si="252"/>
        <v>1.0272141649964683</v>
      </c>
      <c r="BG330" s="235">
        <f t="shared" si="222"/>
        <v>51.981788379178404</v>
      </c>
      <c r="BH330" s="235">
        <f t="shared" si="223"/>
        <v>366.41029401699979</v>
      </c>
      <c r="BI330" s="263">
        <f t="shared" si="224"/>
        <v>5.204407067498801</v>
      </c>
      <c r="BJ330" s="247">
        <f t="shared" si="312"/>
        <v>242.19076295707268</v>
      </c>
      <c r="BK330" s="248">
        <f t="shared" si="253"/>
        <v>0.54281421509238459</v>
      </c>
      <c r="BL330" s="94">
        <f t="shared" si="254"/>
        <v>3.9178969157691755E-3</v>
      </c>
      <c r="BM330" s="249">
        <f t="shared" si="255"/>
        <v>0.6382514482643199</v>
      </c>
      <c r="BN330" s="247">
        <f t="shared" si="256"/>
        <v>243.19076295707268</v>
      </c>
      <c r="BO330" s="248">
        <f t="shared" si="257"/>
        <v>0.53431194294934348</v>
      </c>
      <c r="BP330" s="94">
        <f t="shared" si="258"/>
        <v>3.8666816451030941E-3</v>
      </c>
      <c r="BQ330" s="249">
        <f t="shared" si="259"/>
        <v>0.70037409398411699</v>
      </c>
      <c r="BR330" s="247">
        <f t="shared" si="260"/>
        <v>240.89585147566368</v>
      </c>
      <c r="BS330" s="248">
        <f t="shared" si="261"/>
        <v>0.55382390490847244</v>
      </c>
      <c r="BT330" s="94">
        <f t="shared" si="262"/>
        <v>3.9837744866290294E-3</v>
      </c>
      <c r="BU330" s="249">
        <f t="shared" si="263"/>
        <v>0.55780812106625088</v>
      </c>
      <c r="BV330" s="283">
        <f t="shared" si="264"/>
        <v>0.55780790023067617</v>
      </c>
      <c r="BW330" s="282">
        <f t="shared" si="265"/>
        <v>2923.7446506432038</v>
      </c>
      <c r="BX330" s="265">
        <f t="shared" si="225"/>
        <v>232.27451260708079</v>
      </c>
      <c r="BY330" s="265">
        <f t="shared" si="226"/>
        <v>231.83192018557662</v>
      </c>
      <c r="BZ330" s="284">
        <f t="shared" si="313"/>
        <v>177.76175821221381</v>
      </c>
      <c r="CA330" s="248">
        <f t="shared" si="266"/>
        <v>1.0906071473384613</v>
      </c>
      <c r="CB330" s="94">
        <f t="shared" si="267"/>
        <v>6.6407087217384394E-3</v>
      </c>
      <c r="CC330" s="249">
        <f t="shared" si="268"/>
        <v>1.2758313216673196</v>
      </c>
      <c r="CD330" s="247">
        <f t="shared" si="269"/>
        <v>178.76175821221381</v>
      </c>
      <c r="CE330" s="248">
        <f t="shared" si="270"/>
        <v>1.0821048751954203</v>
      </c>
      <c r="CF330" s="94">
        <f t="shared" si="271"/>
        <v>6.6063911039131182E-3</v>
      </c>
      <c r="CG330" s="249">
        <f t="shared" si="272"/>
        <v>1.3389557428731116</v>
      </c>
      <c r="CH330" s="247">
        <f t="shared" si="273"/>
        <v>175.26969923623579</v>
      </c>
      <c r="CI330" s="248">
        <f t="shared" si="274"/>
        <v>1.1117953109487346</v>
      </c>
      <c r="CJ330" s="94">
        <f t="shared" si="275"/>
        <v>6.725241927102798E-3</v>
      </c>
      <c r="CK330" s="249">
        <f t="shared" si="276"/>
        <v>1.118521541198009</v>
      </c>
      <c r="CL330" s="249">
        <f t="shared" si="277"/>
        <v>1.1185210470369231</v>
      </c>
      <c r="CM330" s="249">
        <f t="shared" si="278"/>
        <v>2766.9535450035651</v>
      </c>
      <c r="CN330" s="265">
        <f t="shared" si="227"/>
        <v>156.83186922361477</v>
      </c>
      <c r="CO330" s="265">
        <f t="shared" si="228"/>
        <v>157.63301745975696</v>
      </c>
      <c r="CP330" s="94">
        <f t="shared" si="279"/>
        <v>1.9939424571432302E-2</v>
      </c>
      <c r="CQ330" s="157">
        <f t="shared" si="229"/>
        <v>3.4231115101196701</v>
      </c>
      <c r="CR330" s="285">
        <f t="shared" si="230"/>
        <v>5.1193803761197874</v>
      </c>
      <c r="CS330" s="157">
        <f t="shared" si="231"/>
        <v>11.956820580050262</v>
      </c>
      <c r="CT330" s="143">
        <f t="shared" si="232"/>
        <v>300.05578251264058</v>
      </c>
      <c r="CU330" s="247">
        <f t="shared" si="280"/>
        <v>240.89585147566368</v>
      </c>
      <c r="CV330" s="248">
        <f t="shared" si="281"/>
        <v>0.50299383363992145</v>
      </c>
      <c r="CW330" s="94">
        <f t="shared" si="282"/>
        <v>3.5570008102650255E-3</v>
      </c>
      <c r="CX330" s="249">
        <f t="shared" si="283"/>
        <v>0.56307539236266135</v>
      </c>
      <c r="CY330" s="247">
        <f t="shared" si="284"/>
        <v>241.89585147566368</v>
      </c>
      <c r="CZ330" s="248">
        <f t="shared" si="285"/>
        <v>0.49449156149688039</v>
      </c>
      <c r="DA330" s="94">
        <f t="shared" si="286"/>
        <v>3.5061703795975447E-3</v>
      </c>
      <c r="DB330" s="249">
        <f t="shared" si="287"/>
        <v>0.62519803808245844</v>
      </c>
      <c r="DC330" s="247">
        <f t="shared" si="288"/>
        <v>240.09607843784968</v>
      </c>
      <c r="DD330" s="248">
        <f t="shared" si="289"/>
        <v>0.50979372166008285</v>
      </c>
      <c r="DE330" s="94">
        <f t="shared" si="290"/>
        <v>3.5974406229167385E-3</v>
      </c>
      <c r="DF330" s="249">
        <f t="shared" si="291"/>
        <v>0.51339137527829681</v>
      </c>
      <c r="DG330" s="283">
        <f t="shared" si="292"/>
        <v>0.51339126878064822</v>
      </c>
      <c r="DH330" s="282">
        <f t="shared" si="293"/>
        <v>2913.2018519450639</v>
      </c>
      <c r="DI330" s="265">
        <f t="shared" si="233"/>
        <v>227.19741273908821</v>
      </c>
      <c r="DJ330" s="265">
        <f t="shared" si="234"/>
        <v>226.78823165687538</v>
      </c>
      <c r="DK330" s="284">
        <f t="shared" si="294"/>
        <v>175.26969923623579</v>
      </c>
      <c r="DL330" s="248">
        <f t="shared" si="295"/>
        <v>1.1117953109487346</v>
      </c>
      <c r="DM330" s="94">
        <f t="shared" si="296"/>
        <v>6.725241927102798E-3</v>
      </c>
      <c r="DN330" s="249">
        <f t="shared" si="297"/>
        <v>1.118521541198009</v>
      </c>
      <c r="DO330" s="247">
        <f t="shared" si="298"/>
        <v>176.26969923623579</v>
      </c>
      <c r="DP330" s="248">
        <f t="shared" si="299"/>
        <v>1.1032930388056936</v>
      </c>
      <c r="DQ330" s="94">
        <f t="shared" si="300"/>
        <v>6.6914897241821354E-3</v>
      </c>
      <c r="DR330" s="249">
        <f t="shared" si="301"/>
        <v>1.1816459624038009</v>
      </c>
      <c r="DS330" s="247">
        <f t="shared" si="302"/>
        <v>175.26968544449664</v>
      </c>
      <c r="DT330" s="248">
        <f t="shared" si="303"/>
        <v>1.1117954282098543</v>
      </c>
      <c r="DU330" s="94">
        <f t="shared" si="304"/>
        <v>6.7252423910495861E-3</v>
      </c>
      <c r="DV330" s="249">
        <f t="shared" si="305"/>
        <v>1.1185206706024577</v>
      </c>
      <c r="DW330" s="249">
        <f t="shared" si="306"/>
        <v>1.1185206706016808</v>
      </c>
      <c r="DX330" s="249">
        <f t="shared" si="307"/>
        <v>2766.9585731312941</v>
      </c>
      <c r="DY330" s="265">
        <f t="shared" si="235"/>
        <v>156.83429010994257</v>
      </c>
      <c r="DZ330" s="265">
        <f t="shared" si="236"/>
        <v>157.63543769414417</v>
      </c>
      <c r="EA330" s="94">
        <f t="shared" si="308"/>
        <v>1.8754700845845823E-2</v>
      </c>
      <c r="EB330" s="157">
        <f t="shared" si="237"/>
        <v>3.2820072322781724</v>
      </c>
      <c r="EC330" s="285">
        <f t="shared" si="309"/>
        <v>4.9326738725071237</v>
      </c>
      <c r="ED330" s="157">
        <f t="shared" si="310"/>
        <v>11.520749024352115</v>
      </c>
      <c r="EE330" s="143">
        <f t="shared" si="238"/>
        <v>300.27381829048966</v>
      </c>
    </row>
    <row r="331" spans="1:135" ht="12" customHeight="1" x14ac:dyDescent="0.2">
      <c r="A331" s="200" t="s">
        <v>442</v>
      </c>
      <c r="B331" s="236">
        <f t="shared" si="239"/>
        <v>232.27451260708079</v>
      </c>
      <c r="C331" s="237">
        <f t="shared" si="240"/>
        <v>4.9712449017345204</v>
      </c>
      <c r="D331" s="236">
        <f t="shared" si="241"/>
        <v>2923.7446506432038</v>
      </c>
      <c r="E331" s="236">
        <f t="shared" si="242"/>
        <v>156.83186922361477</v>
      </c>
      <c r="F331" s="237">
        <f t="shared" si="243"/>
        <v>4.9943453156076334</v>
      </c>
      <c r="G331" s="238">
        <f t="shared" si="244"/>
        <v>2766.9585731312941</v>
      </c>
      <c r="H331" s="118">
        <v>0</v>
      </c>
      <c r="I331" s="239">
        <f t="shared" si="245"/>
        <v>294.51344377831356</v>
      </c>
      <c r="J331" s="154">
        <f t="shared" si="311"/>
        <v>0.18193548387096783</v>
      </c>
      <c r="K331" s="149">
        <f t="shared" si="183"/>
        <v>0.1832258973110753</v>
      </c>
      <c r="L331" s="240">
        <f t="shared" si="184"/>
        <v>294.51344377831356</v>
      </c>
      <c r="M331" s="154">
        <f t="shared" si="185"/>
        <v>0.60972303437356967</v>
      </c>
      <c r="N331" s="241">
        <f t="shared" si="186"/>
        <v>294.51344377831356</v>
      </c>
      <c r="O331" s="150">
        <f t="shared" si="187"/>
        <v>0.63262464389745365</v>
      </c>
      <c r="P331" s="150">
        <f t="shared" si="188"/>
        <v>3.5007702617149588</v>
      </c>
      <c r="Q331" s="152">
        <f t="shared" si="189"/>
        <v>2.8999204561239534E-5</v>
      </c>
      <c r="R331" s="152">
        <f t="shared" si="246"/>
        <v>558.42480067264933</v>
      </c>
      <c r="S331" s="153">
        <f t="shared" si="190"/>
        <v>0.1146080903335757</v>
      </c>
      <c r="T331" s="154">
        <f t="shared" si="191"/>
        <v>0.68456814469060956</v>
      </c>
      <c r="U331" s="155">
        <f t="shared" si="192"/>
        <v>0.68148597755853346</v>
      </c>
      <c r="V331" s="154">
        <f t="shared" si="193"/>
        <v>4.4946993616536382E-2</v>
      </c>
      <c r="W331" s="154">
        <f t="shared" si="247"/>
        <v>0.3467737220321892</v>
      </c>
      <c r="X331" s="154">
        <f t="shared" si="248"/>
        <v>0.23383049733090785</v>
      </c>
      <c r="Y331" s="154">
        <f t="shared" si="194"/>
        <v>5.8560000000000008</v>
      </c>
      <c r="Z331" s="154">
        <f t="shared" si="195"/>
        <v>34.69342260332553</v>
      </c>
      <c r="AA331" s="154">
        <f t="shared" si="196"/>
        <v>0.69210302002343405</v>
      </c>
      <c r="AB331" s="1"/>
      <c r="AC331" s="242">
        <f t="shared" si="197"/>
        <v>0.11879209349058834</v>
      </c>
      <c r="AD331" s="263">
        <f t="shared" si="198"/>
        <v>2.1763175454919867</v>
      </c>
      <c r="AE331" s="282">
        <f t="shared" si="199"/>
        <v>232.27451260708079</v>
      </c>
      <c r="AF331" s="243">
        <f t="shared" si="200"/>
        <v>0.34374281948586594</v>
      </c>
      <c r="AG331" s="243">
        <f t="shared" si="201"/>
        <v>21.410968653008389</v>
      </c>
      <c r="AH331" s="264">
        <f t="shared" si="202"/>
        <v>1.7458515848952307E-5</v>
      </c>
      <c r="AI331" s="264">
        <f t="shared" si="203"/>
        <v>12067.157368505215</v>
      </c>
      <c r="AJ331" s="245">
        <f t="shared" si="204"/>
        <v>4.4280763845157112E-2</v>
      </c>
      <c r="AK331" s="264">
        <f t="shared" si="205"/>
        <v>59.258743007276287</v>
      </c>
      <c r="AL331" s="246">
        <f t="shared" si="206"/>
        <v>0.98191562286894118</v>
      </c>
      <c r="AM331" s="263">
        <f t="shared" si="207"/>
        <v>3.7835787189699849E-2</v>
      </c>
      <c r="AN331" s="263">
        <f t="shared" si="249"/>
        <v>1.0750013422652398</v>
      </c>
      <c r="AO331" s="263">
        <f t="shared" si="250"/>
        <v>1.0233472767777259</v>
      </c>
      <c r="AP331" s="235">
        <f t="shared" si="208"/>
        <v>43.039233016380756</v>
      </c>
      <c r="AQ331" s="235">
        <f t="shared" si="209"/>
        <v>360.17501132789653</v>
      </c>
      <c r="AR331" s="263">
        <f t="shared" si="210"/>
        <v>5.1158425543699311</v>
      </c>
      <c r="AT331" s="242">
        <f t="shared" si="211"/>
        <v>0.1167219735067988</v>
      </c>
      <c r="AU331" s="263">
        <f t="shared" si="212"/>
        <v>2.6730098466541437</v>
      </c>
      <c r="AV331" s="282">
        <f t="shared" si="213"/>
        <v>156.83186922361477</v>
      </c>
      <c r="AW331" s="243">
        <f t="shared" si="214"/>
        <v>0.27986935032071714</v>
      </c>
      <c r="AX331" s="243">
        <f t="shared" si="215"/>
        <v>17.432433630518609</v>
      </c>
      <c r="AY331" s="264">
        <f t="shared" si="216"/>
        <v>1.432822588630185E-5</v>
      </c>
      <c r="AZ331" s="264">
        <f t="shared" si="217"/>
        <v>14703.471304933868</v>
      </c>
      <c r="BA331" s="245">
        <f t="shared" si="218"/>
        <v>4.3509109003157145E-2</v>
      </c>
      <c r="BB331" s="264">
        <f t="shared" si="219"/>
        <v>47.406645496738903</v>
      </c>
      <c r="BC331" s="246">
        <f t="shared" si="220"/>
        <v>1.0555371947263623</v>
      </c>
      <c r="BD331" s="263">
        <f t="shared" si="221"/>
        <v>3.1816765547359252E-2</v>
      </c>
      <c r="BE331" s="263">
        <f t="shared" si="251"/>
        <v>1.0935458268092448</v>
      </c>
      <c r="BF331" s="263">
        <f t="shared" si="252"/>
        <v>1.0290057125013876</v>
      </c>
      <c r="BG331" s="235">
        <f t="shared" si="222"/>
        <v>52.176019167883084</v>
      </c>
      <c r="BH331" s="235">
        <f t="shared" si="223"/>
        <v>367.1751236528043</v>
      </c>
      <c r="BI331" s="263">
        <f t="shared" si="224"/>
        <v>5.2152705307448111</v>
      </c>
      <c r="BJ331" s="247">
        <f t="shared" si="312"/>
        <v>240.89585147566368</v>
      </c>
      <c r="BK331" s="248">
        <f t="shared" si="253"/>
        <v>0.45009501555491982</v>
      </c>
      <c r="BL331" s="94">
        <f t="shared" si="254"/>
        <v>3.1731086096167737E-3</v>
      </c>
      <c r="BM331" s="249">
        <f t="shared" si="255"/>
        <v>0.53495596805119305</v>
      </c>
      <c r="BN331" s="247">
        <f t="shared" si="256"/>
        <v>241.89585147566368</v>
      </c>
      <c r="BO331" s="248">
        <f t="shared" si="257"/>
        <v>0.44170047569915177</v>
      </c>
      <c r="BP331" s="94">
        <f t="shared" si="258"/>
        <v>3.1222781789492925E-3</v>
      </c>
      <c r="BQ331" s="249">
        <f t="shared" si="259"/>
        <v>0.59700618742032519</v>
      </c>
      <c r="BR331" s="247">
        <f t="shared" si="260"/>
        <v>239.73708616444674</v>
      </c>
      <c r="BS331" s="248">
        <f t="shared" si="261"/>
        <v>0.45982231714341198</v>
      </c>
      <c r="BT331" s="94">
        <f t="shared" si="262"/>
        <v>3.2316391642959919E-3</v>
      </c>
      <c r="BU331" s="249">
        <f t="shared" si="263"/>
        <v>0.46305432629284138</v>
      </c>
      <c r="BV331" s="283">
        <f t="shared" si="264"/>
        <v>0.46305414130027467</v>
      </c>
      <c r="BW331" s="282">
        <f t="shared" si="265"/>
        <v>2924.3636295853225</v>
      </c>
      <c r="BX331" s="265">
        <f t="shared" si="225"/>
        <v>232.57132316340878</v>
      </c>
      <c r="BY331" s="265">
        <f t="shared" si="226"/>
        <v>232.20162167449269</v>
      </c>
      <c r="BZ331" s="284">
        <f t="shared" si="313"/>
        <v>175.26969923623579</v>
      </c>
      <c r="CA331" s="248">
        <f t="shared" si="266"/>
        <v>1.0009963661095027</v>
      </c>
      <c r="CB331" s="94">
        <f t="shared" si="267"/>
        <v>5.9145760500905432E-3</v>
      </c>
      <c r="CC331" s="249">
        <f t="shared" si="268"/>
        <v>1.1663067770937088</v>
      </c>
      <c r="CD331" s="247">
        <f t="shared" si="269"/>
        <v>176.26969923623579</v>
      </c>
      <c r="CE331" s="248">
        <f t="shared" si="270"/>
        <v>0.99260182625373483</v>
      </c>
      <c r="CF331" s="94">
        <f t="shared" si="271"/>
        <v>5.8808238471698788E-3</v>
      </c>
      <c r="CG331" s="249">
        <f t="shared" si="272"/>
        <v>1.2295629615956458</v>
      </c>
      <c r="CH331" s="247">
        <f t="shared" si="273"/>
        <v>173.04612388796204</v>
      </c>
      <c r="CI331" s="248">
        <f t="shared" si="274"/>
        <v>1.0196622579928905</v>
      </c>
      <c r="CJ331" s="94">
        <f t="shared" si="275"/>
        <v>5.9888212360731611E-3</v>
      </c>
      <c r="CK331" s="249">
        <f t="shared" si="276"/>
        <v>1.025651884609345</v>
      </c>
      <c r="CL331" s="249">
        <f t="shared" si="277"/>
        <v>1.0256514819191542</v>
      </c>
      <c r="CM331" s="249">
        <f t="shared" si="278"/>
        <v>2765.5825246138579</v>
      </c>
      <c r="CN331" s="265">
        <f t="shared" si="227"/>
        <v>156.17313101095633</v>
      </c>
      <c r="CO331" s="265">
        <f t="shared" si="228"/>
        <v>156.90307423535666</v>
      </c>
      <c r="CP331" s="94">
        <f t="shared" si="279"/>
        <v>1.7689016096846279E-2</v>
      </c>
      <c r="CQ331" s="157">
        <f t="shared" si="229"/>
        <v>3.1112664554989493</v>
      </c>
      <c r="CR331" s="285">
        <f t="shared" si="230"/>
        <v>4.6176614975054147</v>
      </c>
      <c r="CS331" s="157">
        <f t="shared" si="231"/>
        <v>10.785006381363397</v>
      </c>
      <c r="CT331" s="143">
        <f t="shared" si="232"/>
        <v>289.12094058763188</v>
      </c>
      <c r="CU331" s="247">
        <f t="shared" si="280"/>
        <v>239.73708616444674</v>
      </c>
      <c r="CV331" s="248">
        <f t="shared" si="281"/>
        <v>0.41455473418687799</v>
      </c>
      <c r="CW331" s="94">
        <f t="shared" si="282"/>
        <v>2.8687658456033201E-3</v>
      </c>
      <c r="CX331" s="249">
        <f t="shared" si="283"/>
        <v>0.46757722464995416</v>
      </c>
      <c r="CY331" s="247">
        <f t="shared" si="284"/>
        <v>240.73708616444674</v>
      </c>
      <c r="CZ331" s="248">
        <f t="shared" si="285"/>
        <v>0.40616019433110984</v>
      </c>
      <c r="DA331" s="94">
        <f t="shared" si="286"/>
        <v>2.8182781543962098E-3</v>
      </c>
      <c r="DB331" s="249">
        <f t="shared" si="287"/>
        <v>0.52962744401908624</v>
      </c>
      <c r="DC331" s="247">
        <f t="shared" si="288"/>
        <v>239.02563784968081</v>
      </c>
      <c r="DD331" s="248">
        <f t="shared" si="289"/>
        <v>0.42052701542049958</v>
      </c>
      <c r="DE331" s="94">
        <f t="shared" si="290"/>
        <v>2.9045058451341098E-3</v>
      </c>
      <c r="DF331" s="249">
        <f t="shared" si="291"/>
        <v>0.42343170064892877</v>
      </c>
      <c r="DG331" s="283">
        <f t="shared" si="292"/>
        <v>0.42343161095728121</v>
      </c>
      <c r="DH331" s="282">
        <f t="shared" si="293"/>
        <v>2913.7678662125836</v>
      </c>
      <c r="DI331" s="265">
        <f t="shared" si="233"/>
        <v>227.46868812633795</v>
      </c>
      <c r="DJ331" s="265">
        <f t="shared" si="234"/>
        <v>227.12845989160667</v>
      </c>
      <c r="DK331" s="284">
        <f t="shared" si="294"/>
        <v>173.04612388796204</v>
      </c>
      <c r="DL331" s="248">
        <f t="shared" si="295"/>
        <v>1.0196622579928905</v>
      </c>
      <c r="DM331" s="94">
        <f t="shared" si="296"/>
        <v>5.9888212360731611E-3</v>
      </c>
      <c r="DN331" s="249">
        <f t="shared" si="297"/>
        <v>1.025651884609345</v>
      </c>
      <c r="DO331" s="247">
        <f t="shared" si="298"/>
        <v>174.04612388796204</v>
      </c>
      <c r="DP331" s="248">
        <f t="shared" si="299"/>
        <v>1.0112677181371224</v>
      </c>
      <c r="DQ331" s="94">
        <f t="shared" si="300"/>
        <v>5.9555682597485955E-3</v>
      </c>
      <c r="DR331" s="249">
        <f t="shared" si="301"/>
        <v>1.088908069111282</v>
      </c>
      <c r="DS331" s="247">
        <f t="shared" si="302"/>
        <v>173.04611265281005</v>
      </c>
      <c r="DT331" s="248">
        <f t="shared" si="303"/>
        <v>1.0196623523068213</v>
      </c>
      <c r="DU331" s="94">
        <f t="shared" si="304"/>
        <v>5.9888216084213542E-3</v>
      </c>
      <c r="DV331" s="249">
        <f t="shared" si="305"/>
        <v>1.025651173916498</v>
      </c>
      <c r="DW331" s="249">
        <f t="shared" si="306"/>
        <v>1.0256511739158705</v>
      </c>
      <c r="DX331" s="249">
        <f t="shared" si="307"/>
        <v>2765.5875531533047</v>
      </c>
      <c r="DY331" s="265">
        <f t="shared" si="235"/>
        <v>156.17555208451367</v>
      </c>
      <c r="DZ331" s="265">
        <f t="shared" si="236"/>
        <v>156.90549488932891</v>
      </c>
      <c r="EA331" s="94">
        <f t="shared" si="308"/>
        <v>1.6681679764155421E-2</v>
      </c>
      <c r="EB331" s="157">
        <f t="shared" si="237"/>
        <v>2.985603645211611</v>
      </c>
      <c r="EC331" s="285">
        <f t="shared" si="309"/>
        <v>4.4513681098495459</v>
      </c>
      <c r="ED331" s="157">
        <f t="shared" si="310"/>
        <v>10.396611682441453</v>
      </c>
      <c r="EE331" s="143">
        <f t="shared" si="238"/>
        <v>289.31513793709286</v>
      </c>
    </row>
    <row r="332" spans="1:135" ht="12" customHeight="1" x14ac:dyDescent="0.2">
      <c r="A332" s="200" t="s">
        <v>442</v>
      </c>
      <c r="B332" s="236">
        <f t="shared" si="239"/>
        <v>232.57132316340878</v>
      </c>
      <c r="C332" s="237">
        <f t="shared" si="240"/>
        <v>4.9706523143044476</v>
      </c>
      <c r="D332" s="236">
        <f t="shared" si="241"/>
        <v>2924.3636295853225</v>
      </c>
      <c r="E332" s="236">
        <f t="shared" si="242"/>
        <v>156.17313101095633</v>
      </c>
      <c r="F332" s="237">
        <f t="shared" si="243"/>
        <v>4.9948193820626008</v>
      </c>
      <c r="G332" s="238">
        <f t="shared" si="244"/>
        <v>2765.5875531533047</v>
      </c>
      <c r="H332" s="118">
        <v>0</v>
      </c>
      <c r="I332" s="239">
        <f t="shared" si="245"/>
        <v>284.1168320958721</v>
      </c>
      <c r="J332" s="154">
        <f t="shared" si="311"/>
        <v>0.19406451612903236</v>
      </c>
      <c r="K332" s="149">
        <f t="shared" si="183"/>
        <v>0.18105443462388138</v>
      </c>
      <c r="L332" s="240">
        <f t="shared" si="184"/>
        <v>284.1168320958721</v>
      </c>
      <c r="M332" s="154">
        <f t="shared" si="185"/>
        <v>0.62343912479194408</v>
      </c>
      <c r="N332" s="241">
        <f t="shared" si="186"/>
        <v>284.1168320958721</v>
      </c>
      <c r="O332" s="150">
        <f t="shared" si="187"/>
        <v>0.61870646572811716</v>
      </c>
      <c r="P332" s="150">
        <f t="shared" si="188"/>
        <v>3.4237509032336262</v>
      </c>
      <c r="Q332" s="152">
        <f t="shared" si="189"/>
        <v>2.8655526666426849E-5</v>
      </c>
      <c r="R332" s="152">
        <f t="shared" si="246"/>
        <v>565.12222634346142</v>
      </c>
      <c r="S332" s="153">
        <f t="shared" si="190"/>
        <v>0.11324983696730953</v>
      </c>
      <c r="T332" s="154">
        <f t="shared" si="191"/>
        <v>0.66157265206837401</v>
      </c>
      <c r="U332" s="155">
        <f t="shared" si="192"/>
        <v>0.68143681971334513</v>
      </c>
      <c r="V332" s="154">
        <f t="shared" si="193"/>
        <v>4.4426445666208222E-2</v>
      </c>
      <c r="W332" s="154">
        <f t="shared" si="247"/>
        <v>0.33939331309919002</v>
      </c>
      <c r="X332" s="154">
        <f t="shared" si="248"/>
        <v>0.22868717910420291</v>
      </c>
      <c r="Y332" s="154">
        <f t="shared" si="194"/>
        <v>5.8560000000000008</v>
      </c>
      <c r="Z332" s="154">
        <f t="shared" si="195"/>
        <v>34.291625095351932</v>
      </c>
      <c r="AA332" s="154">
        <f t="shared" si="196"/>
        <v>0.68408751599300266</v>
      </c>
      <c r="AB332" s="1"/>
      <c r="AC332" s="242">
        <f t="shared" si="197"/>
        <v>0.11880007615024873</v>
      </c>
      <c r="AD332" s="263">
        <f t="shared" si="198"/>
        <v>2.1746567569315118</v>
      </c>
      <c r="AE332" s="282">
        <f t="shared" si="199"/>
        <v>232.57132316340878</v>
      </c>
      <c r="AF332" s="243">
        <f t="shared" si="200"/>
        <v>0.34400533638216596</v>
      </c>
      <c r="AG332" s="243">
        <f t="shared" si="201"/>
        <v>21.427320241227662</v>
      </c>
      <c r="AH332" s="264">
        <f t="shared" si="202"/>
        <v>1.7470837001842307E-5</v>
      </c>
      <c r="AI332" s="264">
        <f t="shared" si="203"/>
        <v>12058.647112764786</v>
      </c>
      <c r="AJ332" s="245">
        <f t="shared" si="204"/>
        <v>4.4283739449483051E-2</v>
      </c>
      <c r="AK332" s="264">
        <f t="shared" si="205"/>
        <v>59.307984140731797</v>
      </c>
      <c r="AL332" s="246">
        <f t="shared" si="206"/>
        <v>0.98168458698511374</v>
      </c>
      <c r="AM332" s="263">
        <f t="shared" si="207"/>
        <v>3.786131071663653E-2</v>
      </c>
      <c r="AN332" s="263">
        <f t="shared" si="249"/>
        <v>1.0717055565393285</v>
      </c>
      <c r="AO332" s="263">
        <f t="shared" si="250"/>
        <v>1.0222687706506604</v>
      </c>
      <c r="AP332" s="235">
        <f t="shared" si="208"/>
        <v>42.965570970065762</v>
      </c>
      <c r="AQ332" s="235">
        <f t="shared" si="209"/>
        <v>359.80112196216902</v>
      </c>
      <c r="AR332" s="263">
        <f t="shared" si="210"/>
        <v>5.1105319162977239</v>
      </c>
      <c r="AT332" s="242">
        <f t="shared" si="211"/>
        <v>0.11670351500395273</v>
      </c>
      <c r="AU332" s="263">
        <f t="shared" si="212"/>
        <v>2.6732488791949729</v>
      </c>
      <c r="AV332" s="282">
        <f t="shared" si="213"/>
        <v>156.17313101095633</v>
      </c>
      <c r="AW332" s="243">
        <f t="shared" si="214"/>
        <v>0.27984432538479437</v>
      </c>
      <c r="AX332" s="243">
        <f t="shared" si="215"/>
        <v>17.430874883431507</v>
      </c>
      <c r="AY332" s="264">
        <f t="shared" si="216"/>
        <v>1.4300906236783843E-5</v>
      </c>
      <c r="AZ332" s="264">
        <f t="shared" si="217"/>
        <v>14731.559992188921</v>
      </c>
      <c r="BA332" s="245">
        <f t="shared" si="218"/>
        <v>4.3502228439127627E-2</v>
      </c>
      <c r="BB332" s="264">
        <f t="shared" si="219"/>
        <v>47.394910307627775</v>
      </c>
      <c r="BC332" s="246">
        <f t="shared" si="220"/>
        <v>1.0563264385260718</v>
      </c>
      <c r="BD332" s="263">
        <f t="shared" si="221"/>
        <v>3.1768865496571874E-2</v>
      </c>
      <c r="BE332" s="263">
        <f t="shared" si="251"/>
        <v>1.0999998382400307</v>
      </c>
      <c r="BF332" s="263">
        <f t="shared" si="252"/>
        <v>1.0311137884730006</v>
      </c>
      <c r="BG332" s="235">
        <f t="shared" si="222"/>
        <v>52.378454685709997</v>
      </c>
      <c r="BH332" s="235">
        <f t="shared" si="223"/>
        <v>368.04478497491948</v>
      </c>
      <c r="BI332" s="263">
        <f t="shared" si="224"/>
        <v>5.2276229990161767</v>
      </c>
      <c r="BJ332" s="247">
        <f t="shared" si="312"/>
        <v>239.73708616444674</v>
      </c>
      <c r="BK332" s="248">
        <f t="shared" si="253"/>
        <v>0.3682329334884078</v>
      </c>
      <c r="BL332" s="94">
        <f t="shared" si="254"/>
        <v>2.5412415708222654E-3</v>
      </c>
      <c r="BM332" s="249">
        <f t="shared" si="255"/>
        <v>0.44417559858250438</v>
      </c>
      <c r="BN332" s="247">
        <f t="shared" si="256"/>
        <v>240.73708616444674</v>
      </c>
      <c r="BO332" s="248">
        <f t="shared" si="257"/>
        <v>0.35993561393958945</v>
      </c>
      <c r="BP332" s="94">
        <f t="shared" si="258"/>
        <v>2.4907538796151551E-3</v>
      </c>
      <c r="BQ332" s="249">
        <f t="shared" si="259"/>
        <v>0.50616140505114782</v>
      </c>
      <c r="BR332" s="247">
        <f t="shared" si="260"/>
        <v>238.69346818930171</v>
      </c>
      <c r="BS332" s="248">
        <f t="shared" si="261"/>
        <v>0.37689216531507685</v>
      </c>
      <c r="BT332" s="94">
        <f t="shared" si="262"/>
        <v>2.5936173613020524E-3</v>
      </c>
      <c r="BU332" s="249">
        <f t="shared" si="263"/>
        <v>0.37948609674796729</v>
      </c>
      <c r="BV332" s="283">
        <f t="shared" si="264"/>
        <v>0.37948593971217309</v>
      </c>
      <c r="BW332" s="282">
        <f t="shared" si="265"/>
        <v>2924.8709003006916</v>
      </c>
      <c r="BX332" s="265">
        <f t="shared" si="225"/>
        <v>232.81433985971853</v>
      </c>
      <c r="BY332" s="265">
        <f t="shared" si="226"/>
        <v>232.50798076710561</v>
      </c>
      <c r="BZ332" s="284">
        <f t="shared" si="313"/>
        <v>173.04612388796204</v>
      </c>
      <c r="CA332" s="248">
        <f t="shared" si="266"/>
        <v>0.92158915851459211</v>
      </c>
      <c r="CB332" s="94">
        <f t="shared" si="267"/>
        <v>5.2984236425994346E-3</v>
      </c>
      <c r="CC332" s="249">
        <f t="shared" si="268"/>
        <v>1.0698491211420258</v>
      </c>
      <c r="CD332" s="247">
        <f t="shared" si="269"/>
        <v>174.04612388796204</v>
      </c>
      <c r="CE332" s="248">
        <f t="shared" si="270"/>
        <v>0.91329183896577382</v>
      </c>
      <c r="CF332" s="94">
        <f t="shared" si="271"/>
        <v>5.2651706662748682E-3</v>
      </c>
      <c r="CG332" s="249">
        <f t="shared" si="272"/>
        <v>1.133255129130093</v>
      </c>
      <c r="CH332" s="247">
        <f t="shared" si="273"/>
        <v>171.05325584264855</v>
      </c>
      <c r="CI332" s="248">
        <f t="shared" si="274"/>
        <v>0.93812462150518716</v>
      </c>
      <c r="CJ332" s="94">
        <f t="shared" si="275"/>
        <v>5.3640286872655872E-3</v>
      </c>
      <c r="CK332" s="249">
        <f t="shared" si="276"/>
        <v>0.94348931394171487</v>
      </c>
      <c r="CL332" s="249">
        <f t="shared" si="277"/>
        <v>0.94348898206708376</v>
      </c>
      <c r="CM332" s="249">
        <f t="shared" si="278"/>
        <v>2764.321333405459</v>
      </c>
      <c r="CN332" s="265">
        <f t="shared" si="227"/>
        <v>155.56727726296663</v>
      </c>
      <c r="CO332" s="265">
        <f t="shared" si="228"/>
        <v>156.23517574916164</v>
      </c>
      <c r="CP332" s="94">
        <f t="shared" si="279"/>
        <v>1.5772472377363216E-2</v>
      </c>
      <c r="CQ332" s="157">
        <f t="shared" si="229"/>
        <v>2.8357648246068727</v>
      </c>
      <c r="CR332" s="285">
        <f t="shared" si="230"/>
        <v>4.1745125506381235</v>
      </c>
      <c r="CS332" s="157">
        <f t="shared" si="231"/>
        <v>9.7499880669113441</v>
      </c>
      <c r="CT332" s="143">
        <f t="shared" si="232"/>
        <v>279.24183806241643</v>
      </c>
      <c r="CU332" s="247">
        <f t="shared" si="280"/>
        <v>238.69346818930171</v>
      </c>
      <c r="CV332" s="248">
        <f t="shared" si="281"/>
        <v>0.33644278202091227</v>
      </c>
      <c r="CW332" s="94">
        <f t="shared" si="282"/>
        <v>2.2829186580561201E-3</v>
      </c>
      <c r="CX332" s="249">
        <f t="shared" si="283"/>
        <v>0.38341242626647576</v>
      </c>
      <c r="CY332" s="247">
        <f t="shared" si="284"/>
        <v>239.69346818930171</v>
      </c>
      <c r="CZ332" s="248">
        <f t="shared" si="285"/>
        <v>0.32814546247209392</v>
      </c>
      <c r="DA332" s="94">
        <f t="shared" si="286"/>
        <v>2.232738326331377E-3</v>
      </c>
      <c r="DB332" s="249">
        <f t="shared" si="287"/>
        <v>0.44539823273511914</v>
      </c>
      <c r="DC332" s="247">
        <f t="shared" si="288"/>
        <v>238.05811165756623</v>
      </c>
      <c r="DD332" s="248">
        <f t="shared" si="289"/>
        <v>0.34171453819215059</v>
      </c>
      <c r="DE332" s="94">
        <f t="shared" si="290"/>
        <v>2.3146485916713125E-3</v>
      </c>
      <c r="DF332" s="249">
        <f t="shared" si="291"/>
        <v>0.34402933925173163</v>
      </c>
      <c r="DG332" s="283">
        <f t="shared" si="292"/>
        <v>0.34402926301777675</v>
      </c>
      <c r="DH332" s="282">
        <f t="shared" si="293"/>
        <v>2914.2277408801174</v>
      </c>
      <c r="DI332" s="265">
        <f t="shared" si="233"/>
        <v>227.68885105169667</v>
      </c>
      <c r="DJ332" s="265">
        <f t="shared" si="234"/>
        <v>227.40865547165168</v>
      </c>
      <c r="DK332" s="284">
        <f t="shared" si="294"/>
        <v>171.05325584264855</v>
      </c>
      <c r="DL332" s="248">
        <f t="shared" si="295"/>
        <v>0.93812462150518716</v>
      </c>
      <c r="DM332" s="94">
        <f t="shared" si="296"/>
        <v>5.3640286872655872E-3</v>
      </c>
      <c r="DN332" s="249">
        <f t="shared" si="297"/>
        <v>0.94348931394171487</v>
      </c>
      <c r="DO332" s="247">
        <f t="shared" si="298"/>
        <v>172.05325584264855</v>
      </c>
      <c r="DP332" s="248">
        <f t="shared" si="299"/>
        <v>0.92982730195636876</v>
      </c>
      <c r="DQ332" s="94">
        <f t="shared" si="300"/>
        <v>5.3312189356900502E-3</v>
      </c>
      <c r="DR332" s="249">
        <f t="shared" si="301"/>
        <v>1.006895321929782</v>
      </c>
      <c r="DS332" s="247">
        <f t="shared" si="302"/>
        <v>171.05324659000007</v>
      </c>
      <c r="DT332" s="248">
        <f t="shared" si="303"/>
        <v>0.93812469827736844</v>
      </c>
      <c r="DU332" s="94">
        <f t="shared" si="304"/>
        <v>5.3640289898191241E-3</v>
      </c>
      <c r="DV332" s="249">
        <f t="shared" si="305"/>
        <v>0.94348872726821131</v>
      </c>
      <c r="DW332" s="249">
        <f t="shared" si="306"/>
        <v>0.9434887272676995</v>
      </c>
      <c r="DX332" s="249">
        <f t="shared" si="307"/>
        <v>2764.3263622855038</v>
      </c>
      <c r="DY332" s="265">
        <f t="shared" si="235"/>
        <v>155.56969848951303</v>
      </c>
      <c r="DZ332" s="265">
        <f t="shared" si="236"/>
        <v>156.23759668942097</v>
      </c>
      <c r="EA332" s="94">
        <f t="shared" si="308"/>
        <v>1.4909972777152504E-2</v>
      </c>
      <c r="EB332" s="157">
        <f t="shared" si="237"/>
        <v>2.7234773365822722</v>
      </c>
      <c r="EC332" s="285">
        <f t="shared" si="309"/>
        <v>4.0259052996454123</v>
      </c>
      <c r="ED332" s="157">
        <f t="shared" si="310"/>
        <v>9.402901094178695</v>
      </c>
      <c r="EE332" s="143">
        <f t="shared" si="238"/>
        <v>279.41538154878276</v>
      </c>
    </row>
    <row r="333" spans="1:135" ht="12" customHeight="1" x14ac:dyDescent="0.2">
      <c r="A333" s="200" t="s">
        <v>442</v>
      </c>
      <c r="B333" s="236">
        <f t="shared" si="239"/>
        <v>232.81433985971853</v>
      </c>
      <c r="C333" s="237">
        <f t="shared" si="240"/>
        <v>4.9700592344630401</v>
      </c>
      <c r="D333" s="236">
        <f t="shared" si="241"/>
        <v>2924.8709003006916</v>
      </c>
      <c r="E333" s="236">
        <f t="shared" si="242"/>
        <v>155.56727726296663</v>
      </c>
      <c r="F333" s="237">
        <f t="shared" si="243"/>
        <v>4.9952933311656773</v>
      </c>
      <c r="G333" s="238">
        <f t="shared" si="244"/>
        <v>2764.3263622855038</v>
      </c>
      <c r="H333" s="118">
        <v>0</v>
      </c>
      <c r="I333" s="239">
        <f t="shared" si="245"/>
        <v>274.71393100169342</v>
      </c>
      <c r="J333" s="154">
        <f t="shared" si="311"/>
        <v>0.20619354838709689</v>
      </c>
      <c r="K333" s="149">
        <f t="shared" si="183"/>
        <v>0.17908015249477344</v>
      </c>
      <c r="L333" s="240">
        <f t="shared" si="184"/>
        <v>274.71393100169342</v>
      </c>
      <c r="M333" s="154">
        <f t="shared" si="185"/>
        <v>0.63656320400055622</v>
      </c>
      <c r="N333" s="241">
        <f t="shared" si="186"/>
        <v>274.71393100169342</v>
      </c>
      <c r="O333" s="150">
        <f t="shared" si="187"/>
        <v>0.60595054045303776</v>
      </c>
      <c r="P333" s="150">
        <f t="shared" si="188"/>
        <v>3.3531631316467592</v>
      </c>
      <c r="Q333" s="152">
        <f t="shared" si="189"/>
        <v>2.8343056583519303E-5</v>
      </c>
      <c r="R333" s="152">
        <f t="shared" si="246"/>
        <v>571.35245731372015</v>
      </c>
      <c r="S333" s="153">
        <f t="shared" si="190"/>
        <v>0.11201492035389753</v>
      </c>
      <c r="T333" s="154">
        <f t="shared" si="191"/>
        <v>0.64086765889831787</v>
      </c>
      <c r="U333" s="155">
        <f t="shared" si="192"/>
        <v>0.68141963344903689</v>
      </c>
      <c r="V333" s="154">
        <f t="shared" si="193"/>
        <v>4.3955651811323784E-2</v>
      </c>
      <c r="W333" s="154">
        <f t="shared" si="247"/>
        <v>0.33260362424869389</v>
      </c>
      <c r="X333" s="154">
        <f t="shared" si="248"/>
        <v>0.22396860264075552</v>
      </c>
      <c r="Y333" s="154">
        <f t="shared" si="194"/>
        <v>5.8560000000000008</v>
      </c>
      <c r="Z333" s="154">
        <f t="shared" si="195"/>
        <v>33.928231487630292</v>
      </c>
      <c r="AA333" s="154">
        <f t="shared" si="196"/>
        <v>0.67683813572179097</v>
      </c>
      <c r="AB333" s="1"/>
      <c r="AC333" s="242">
        <f t="shared" si="197"/>
        <v>0.11880661114435745</v>
      </c>
      <c r="AD333" s="263">
        <f t="shared" si="198"/>
        <v>2.1732504708871958</v>
      </c>
      <c r="AE333" s="282">
        <f t="shared" si="199"/>
        <v>232.81433985971853</v>
      </c>
      <c r="AF333" s="243">
        <f t="shared" si="200"/>
        <v>0.3442279383832722</v>
      </c>
      <c r="AG333" s="243">
        <f t="shared" si="201"/>
        <v>21.441185620219173</v>
      </c>
      <c r="AH333" s="264">
        <f t="shared" si="202"/>
        <v>1.7480925106341103E-5</v>
      </c>
      <c r="AI333" s="264">
        <f t="shared" si="203"/>
        <v>12051.688162283181</v>
      </c>
      <c r="AJ333" s="245">
        <f t="shared" si="204"/>
        <v>4.4286175424154049E-2</v>
      </c>
      <c r="AK333" s="264">
        <f t="shared" si="205"/>
        <v>59.349626217561564</v>
      </c>
      <c r="AL333" s="246">
        <f t="shared" si="206"/>
        <v>0.98149493569805968</v>
      </c>
      <c r="AM333" s="263">
        <f t="shared" si="207"/>
        <v>3.7882183950198808E-2</v>
      </c>
      <c r="AN333" s="263">
        <f t="shared" si="249"/>
        <v>1.068740746407286</v>
      </c>
      <c r="AO333" s="263">
        <f t="shared" si="250"/>
        <v>1.0213037842946053</v>
      </c>
      <c r="AP333" s="235">
        <f t="shared" si="208"/>
        <v>42.901878735644068</v>
      </c>
      <c r="AQ333" s="235">
        <f t="shared" si="209"/>
        <v>359.46581926762622</v>
      </c>
      <c r="AR333" s="263">
        <f t="shared" si="210"/>
        <v>5.1057693543781371</v>
      </c>
      <c r="AT333" s="242">
        <f t="shared" si="211"/>
        <v>0.11668653214834762</v>
      </c>
      <c r="AU333" s="263">
        <f t="shared" si="212"/>
        <v>2.6734878512518576</v>
      </c>
      <c r="AV333" s="282">
        <f t="shared" si="213"/>
        <v>155.56727726296663</v>
      </c>
      <c r="AW333" s="243">
        <f t="shared" si="214"/>
        <v>0.27981931125427817</v>
      </c>
      <c r="AX333" s="243">
        <f t="shared" si="215"/>
        <v>17.429316809388926</v>
      </c>
      <c r="AY333" s="264">
        <f t="shared" si="216"/>
        <v>1.4275780046105735E-5</v>
      </c>
      <c r="AZ333" s="264">
        <f t="shared" si="217"/>
        <v>14757.488381681775</v>
      </c>
      <c r="BA333" s="245">
        <f t="shared" si="218"/>
        <v>4.3495897935165881E-2</v>
      </c>
      <c r="BB333" s="264">
        <f t="shared" si="219"/>
        <v>47.383777516117476</v>
      </c>
      <c r="BC333" s="246">
        <f t="shared" si="220"/>
        <v>1.0570553709176993</v>
      </c>
      <c r="BD333" s="263">
        <f t="shared" si="221"/>
        <v>3.1724902862247134E-2</v>
      </c>
      <c r="BE333" s="263">
        <f t="shared" si="251"/>
        <v>1.1076538437697006</v>
      </c>
      <c r="BF333" s="263">
        <f t="shared" si="252"/>
        <v>1.0336376589622871</v>
      </c>
      <c r="BG333" s="235">
        <f t="shared" si="222"/>
        <v>52.595091460400745</v>
      </c>
      <c r="BH333" s="235">
        <f t="shared" si="223"/>
        <v>369.05559754317829</v>
      </c>
      <c r="BI333" s="263">
        <f t="shared" si="224"/>
        <v>5.2419803469402462</v>
      </c>
      <c r="BJ333" s="247">
        <f t="shared" si="312"/>
        <v>238.69346818930171</v>
      </c>
      <c r="BK333" s="248">
        <f t="shared" si="253"/>
        <v>0.29570608417946848</v>
      </c>
      <c r="BL333" s="94">
        <f t="shared" si="254"/>
        <v>2.001617481620816E-3</v>
      </c>
      <c r="BM333" s="249">
        <f t="shared" si="255"/>
        <v>0.36408290142327265</v>
      </c>
      <c r="BN333" s="247">
        <f t="shared" si="256"/>
        <v>239.69346818930171</v>
      </c>
      <c r="BO333" s="248">
        <f t="shared" si="257"/>
        <v>0.28749669259781063</v>
      </c>
      <c r="BP333" s="94">
        <f t="shared" si="258"/>
        <v>1.9514371498960724E-3</v>
      </c>
      <c r="BQ333" s="249">
        <f t="shared" si="259"/>
        <v>0.42601094262476236</v>
      </c>
      <c r="BR333" s="247">
        <f t="shared" si="260"/>
        <v>237.74778565620929</v>
      </c>
      <c r="BS333" s="248">
        <f t="shared" si="261"/>
        <v>0.30346956240555828</v>
      </c>
      <c r="BT333" s="94">
        <f t="shared" si="262"/>
        <v>2.0488022526240482E-3</v>
      </c>
      <c r="BU333" s="249">
        <f t="shared" si="263"/>
        <v>0.30551863455039591</v>
      </c>
      <c r="BV333" s="283">
        <f t="shared" si="264"/>
        <v>0.30551849960428912</v>
      </c>
      <c r="BW333" s="282">
        <f t="shared" si="265"/>
        <v>2925.2792964272262</v>
      </c>
      <c r="BX333" s="265">
        <f t="shared" si="225"/>
        <v>233.00974237375877</v>
      </c>
      <c r="BY333" s="265">
        <f t="shared" si="226"/>
        <v>232.7588615704322</v>
      </c>
      <c r="BZ333" s="284">
        <f t="shared" si="313"/>
        <v>171.05325584264855</v>
      </c>
      <c r="CA333" s="248">
        <f t="shared" si="266"/>
        <v>0.85099107399963281</v>
      </c>
      <c r="CB333" s="94">
        <f t="shared" si="267"/>
        <v>4.7720288075843512E-3</v>
      </c>
      <c r="CC333" s="249">
        <f t="shared" si="268"/>
        <v>0.98460082123561987</v>
      </c>
      <c r="CD333" s="247">
        <f t="shared" si="269"/>
        <v>172.05325584264855</v>
      </c>
      <c r="CE333" s="248">
        <f t="shared" si="270"/>
        <v>0.84278168241797502</v>
      </c>
      <c r="CF333" s="94">
        <f t="shared" si="271"/>
        <v>4.7392190560088133E-3</v>
      </c>
      <c r="CG333" s="249">
        <f t="shared" si="272"/>
        <v>1.0481809699597984</v>
      </c>
      <c r="CH333" s="247">
        <f t="shared" si="273"/>
        <v>169.2594170400277</v>
      </c>
      <c r="CI333" s="248">
        <f t="shared" si="274"/>
        <v>0.86571739916471968</v>
      </c>
      <c r="CJ333" s="94">
        <f t="shared" si="275"/>
        <v>4.8303312958280966E-3</v>
      </c>
      <c r="CK333" s="249">
        <f t="shared" si="276"/>
        <v>0.87054828337778356</v>
      </c>
      <c r="CL333" s="249">
        <f t="shared" si="277"/>
        <v>0.87054800691916567</v>
      </c>
      <c r="CM333" s="249">
        <f t="shared" si="278"/>
        <v>2763.1576446781032</v>
      </c>
      <c r="CN333" s="265">
        <f t="shared" si="227"/>
        <v>155.00837243654229</v>
      </c>
      <c r="CO333" s="265">
        <f t="shared" si="228"/>
        <v>155.62177409285198</v>
      </c>
      <c r="CP333" s="94">
        <f t="shared" si="279"/>
        <v>1.4129080711368104E-2</v>
      </c>
      <c r="CQ333" s="157">
        <f t="shared" si="229"/>
        <v>2.5914285285542871</v>
      </c>
      <c r="CR333" s="285">
        <f t="shared" si="230"/>
        <v>3.781624392247728</v>
      </c>
      <c r="CS333" s="157">
        <f t="shared" si="231"/>
        <v>8.8323588085320459</v>
      </c>
      <c r="CT333" s="143">
        <f t="shared" si="232"/>
        <v>270.29775159742741</v>
      </c>
      <c r="CU333" s="247">
        <f t="shared" si="280"/>
        <v>237.74778565620929</v>
      </c>
      <c r="CV333" s="248">
        <f t="shared" si="281"/>
        <v>0.26721541638108604</v>
      </c>
      <c r="CW333" s="94">
        <f t="shared" si="282"/>
        <v>1.7810808777681683E-3</v>
      </c>
      <c r="CX333" s="249">
        <f t="shared" si="283"/>
        <v>0.30895429633510774</v>
      </c>
      <c r="CY333" s="247">
        <f t="shared" si="284"/>
        <v>238.74778565620929</v>
      </c>
      <c r="CZ333" s="248">
        <f t="shared" si="285"/>
        <v>0.25900602479942819</v>
      </c>
      <c r="DA333" s="94">
        <f t="shared" si="286"/>
        <v>1.7311779826331807E-3</v>
      </c>
      <c r="DB333" s="249">
        <f t="shared" si="287"/>
        <v>0.37088233753659744</v>
      </c>
      <c r="DC333" s="247">
        <f t="shared" si="288"/>
        <v>237.17848353510573</v>
      </c>
      <c r="DD333" s="248">
        <f t="shared" si="289"/>
        <v>0.27188904042149359</v>
      </c>
      <c r="DE333" s="94">
        <f t="shared" si="290"/>
        <v>1.8093600760347921E-3</v>
      </c>
      <c r="DF333" s="249">
        <f t="shared" si="291"/>
        <v>0.27369853112331094</v>
      </c>
      <c r="DG333" s="283">
        <f t="shared" si="292"/>
        <v>0.27369846581041968</v>
      </c>
      <c r="DH333" s="282">
        <f t="shared" si="293"/>
        <v>2914.5936021730349</v>
      </c>
      <c r="DI333" s="265">
        <f t="shared" si="233"/>
        <v>227.86374056771263</v>
      </c>
      <c r="DJ333" s="265">
        <f t="shared" si="234"/>
        <v>227.63619801968215</v>
      </c>
      <c r="DK333" s="284">
        <f t="shared" si="294"/>
        <v>169.2594170400277</v>
      </c>
      <c r="DL333" s="248">
        <f t="shared" si="295"/>
        <v>0.86571739916471968</v>
      </c>
      <c r="DM333" s="94">
        <f t="shared" si="296"/>
        <v>4.8303312958280966E-3</v>
      </c>
      <c r="DN333" s="249">
        <f t="shared" si="297"/>
        <v>0.87054828337778356</v>
      </c>
      <c r="DO333" s="247">
        <f t="shared" si="298"/>
        <v>170.2594170400277</v>
      </c>
      <c r="DP333" s="248">
        <f t="shared" si="299"/>
        <v>0.85750800758306178</v>
      </c>
      <c r="DQ333" s="94">
        <f t="shared" si="300"/>
        <v>4.7979171201557235E-3</v>
      </c>
      <c r="DR333" s="249">
        <f t="shared" si="301"/>
        <v>0.93412843210196206</v>
      </c>
      <c r="DS333" s="247">
        <f t="shared" si="302"/>
        <v>169.25940934158453</v>
      </c>
      <c r="DT333" s="248">
        <f t="shared" si="303"/>
        <v>0.86571746236425429</v>
      </c>
      <c r="DU333" s="94">
        <f t="shared" si="304"/>
        <v>4.8303315445220197E-3</v>
      </c>
      <c r="DV333" s="249">
        <f t="shared" si="305"/>
        <v>0.87054779390962189</v>
      </c>
      <c r="DW333" s="249">
        <f t="shared" si="306"/>
        <v>0.87054779390919912</v>
      </c>
      <c r="DX333" s="249">
        <f t="shared" si="307"/>
        <v>2763.1626738428849</v>
      </c>
      <c r="DY333" s="265">
        <f t="shared" si="235"/>
        <v>155.01079378918402</v>
      </c>
      <c r="DZ333" s="265">
        <f t="shared" si="236"/>
        <v>155.62419523930248</v>
      </c>
      <c r="EA333" s="94">
        <f t="shared" si="308"/>
        <v>1.3385886174768179E-2</v>
      </c>
      <c r="EB333" s="157">
        <f t="shared" si="237"/>
        <v>2.4907870191903516</v>
      </c>
      <c r="EC333" s="285">
        <f t="shared" si="309"/>
        <v>3.6484191650851612</v>
      </c>
      <c r="ED333" s="157">
        <f t="shared" si="310"/>
        <v>8.5212447899416084</v>
      </c>
      <c r="EE333" s="143">
        <f t="shared" si="238"/>
        <v>270.4533086067226</v>
      </c>
    </row>
    <row r="334" spans="1:135" ht="12" customHeight="1" x14ac:dyDescent="0.2">
      <c r="A334" s="200" t="s">
        <v>442</v>
      </c>
      <c r="B334" s="236">
        <f t="shared" si="239"/>
        <v>233.00974237375877</v>
      </c>
      <c r="C334" s="237">
        <f t="shared" si="240"/>
        <v>4.9694657382008645</v>
      </c>
      <c r="D334" s="236">
        <f t="shared" si="241"/>
        <v>2925.2792964272262</v>
      </c>
      <c r="E334" s="236">
        <f t="shared" si="242"/>
        <v>155.00837243654229</v>
      </c>
      <c r="F334" s="237">
        <f t="shared" si="243"/>
        <v>4.9957671689408381</v>
      </c>
      <c r="G334" s="238">
        <f t="shared" si="244"/>
        <v>2763.1626738428849</v>
      </c>
      <c r="H334" s="118">
        <v>0</v>
      </c>
      <c r="I334" s="239">
        <f t="shared" si="245"/>
        <v>266.19268621175183</v>
      </c>
      <c r="J334" s="154">
        <f t="shared" si="311"/>
        <v>0.21832258064516141</v>
      </c>
      <c r="K334" s="149">
        <f t="shared" si="183"/>
        <v>0.1772824813299973</v>
      </c>
      <c r="L334" s="240">
        <f t="shared" si="184"/>
        <v>266.19268621175183</v>
      </c>
      <c r="M334" s="154">
        <f t="shared" si="185"/>
        <v>0.64910099744442273</v>
      </c>
      <c r="N334" s="241">
        <f t="shared" si="186"/>
        <v>266.19268621175183</v>
      </c>
      <c r="O334" s="150">
        <f t="shared" si="187"/>
        <v>0.59424622518729209</v>
      </c>
      <c r="P334" s="150">
        <f t="shared" si="188"/>
        <v>3.2883946797514509</v>
      </c>
      <c r="Q334" s="152">
        <f t="shared" si="189"/>
        <v>2.8058538758221512E-5</v>
      </c>
      <c r="R334" s="152">
        <f t="shared" si="246"/>
        <v>577.14605761608152</v>
      </c>
      <c r="S334" s="153">
        <f t="shared" si="190"/>
        <v>0.11089047417971432</v>
      </c>
      <c r="T334" s="154">
        <f t="shared" si="191"/>
        <v>0.62217989931052331</v>
      </c>
      <c r="U334" s="155">
        <f t="shared" si="192"/>
        <v>0.68142695441192047</v>
      </c>
      <c r="V334" s="154">
        <f t="shared" si="193"/>
        <v>4.3529001605936202E-2</v>
      </c>
      <c r="W334" s="154">
        <f t="shared" si="247"/>
        <v>0.32632658613358806</v>
      </c>
      <c r="X334" s="154">
        <f t="shared" si="248"/>
        <v>0.21961693817678887</v>
      </c>
      <c r="Y334" s="154">
        <f t="shared" si="194"/>
        <v>5.8560000000000008</v>
      </c>
      <c r="Z334" s="154">
        <f t="shared" si="195"/>
        <v>33.598911221950466</v>
      </c>
      <c r="AA334" s="154">
        <f t="shared" si="196"/>
        <v>0.67026848841319464</v>
      </c>
      <c r="AB334" s="1"/>
      <c r="AC334" s="242">
        <f t="shared" si="197"/>
        <v>0.11881186515791679</v>
      </c>
      <c r="AD334" s="263">
        <f t="shared" si="198"/>
        <v>2.1720687672510786</v>
      </c>
      <c r="AE334" s="282">
        <f t="shared" si="199"/>
        <v>233.00974237375877</v>
      </c>
      <c r="AF334" s="243">
        <f t="shared" si="200"/>
        <v>0.34441521394865654</v>
      </c>
      <c r="AG334" s="243">
        <f t="shared" si="201"/>
        <v>21.452850594824071</v>
      </c>
      <c r="AH334" s="264">
        <f t="shared" si="202"/>
        <v>1.7489036673892616E-5</v>
      </c>
      <c r="AI334" s="264">
        <f t="shared" si="203"/>
        <v>12046.09848433459</v>
      </c>
      <c r="AJ334" s="245">
        <f t="shared" si="204"/>
        <v>4.4288133902423296E-2</v>
      </c>
      <c r="AK334" s="264">
        <f t="shared" si="205"/>
        <v>59.384541158995575</v>
      </c>
      <c r="AL334" s="246">
        <f t="shared" si="206"/>
        <v>0.98134175445217142</v>
      </c>
      <c r="AM334" s="263">
        <f t="shared" si="207"/>
        <v>3.7898935995561364E-2</v>
      </c>
      <c r="AN334" s="263">
        <f t="shared" si="249"/>
        <v>1.066057062960051</v>
      </c>
      <c r="AO334" s="263">
        <f t="shared" si="250"/>
        <v>1.0204344443570568</v>
      </c>
      <c r="AP334" s="235">
        <f t="shared" si="208"/>
        <v>42.846779478664665</v>
      </c>
      <c r="AQ334" s="235">
        <f t="shared" si="209"/>
        <v>359.16291097006206</v>
      </c>
      <c r="AR334" s="263">
        <f t="shared" si="210"/>
        <v>5.1014669149805867</v>
      </c>
      <c r="AT334" s="242">
        <f t="shared" si="211"/>
        <v>0.11667086003067657</v>
      </c>
      <c r="AU334" s="263">
        <f t="shared" si="212"/>
        <v>2.6737267658632526</v>
      </c>
      <c r="AV334" s="282">
        <f t="shared" si="213"/>
        <v>155.00837243654229</v>
      </c>
      <c r="AW334" s="243">
        <f t="shared" si="214"/>
        <v>0.27979430760661206</v>
      </c>
      <c r="AX334" s="243">
        <f t="shared" si="215"/>
        <v>17.427759388299545</v>
      </c>
      <c r="AY334" s="264">
        <f t="shared" si="216"/>
        <v>1.4252601106295768E-5</v>
      </c>
      <c r="AZ334" s="264">
        <f t="shared" si="217"/>
        <v>14781.48841735205</v>
      </c>
      <c r="BA334" s="245">
        <f t="shared" si="218"/>
        <v>4.3490056019924277E-2</v>
      </c>
      <c r="BB334" s="264">
        <f t="shared" si="219"/>
        <v>47.373179946115428</v>
      </c>
      <c r="BC334" s="246">
        <f t="shared" si="220"/>
        <v>1.0577305173517193</v>
      </c>
      <c r="BD334" s="263">
        <f t="shared" si="221"/>
        <v>3.1684427853612723E-2</v>
      </c>
      <c r="BE334" s="263">
        <f t="shared" si="251"/>
        <v>1.1169058668706273</v>
      </c>
      <c r="BF334" s="263">
        <f t="shared" si="252"/>
        <v>1.0367249466256232</v>
      </c>
      <c r="BG334" s="235">
        <f t="shared" si="222"/>
        <v>52.834296961677055</v>
      </c>
      <c r="BH334" s="235">
        <f t="shared" si="223"/>
        <v>370.26109667314131</v>
      </c>
      <c r="BI334" s="263">
        <f t="shared" si="224"/>
        <v>5.2591029777568146</v>
      </c>
      <c r="BJ334" s="247">
        <f t="shared" si="312"/>
        <v>237.74778565620929</v>
      </c>
      <c r="BK334" s="248">
        <f t="shared" si="253"/>
        <v>0.23124873894866491</v>
      </c>
      <c r="BL334" s="94">
        <f t="shared" si="254"/>
        <v>1.5380062941789531E-3</v>
      </c>
      <c r="BM334" s="249">
        <f t="shared" si="255"/>
        <v>0.29317048753983638</v>
      </c>
      <c r="BN334" s="247">
        <f t="shared" si="256"/>
        <v>238.74778565620929</v>
      </c>
      <c r="BO334" s="248">
        <f t="shared" si="257"/>
        <v>0.2231190308311371</v>
      </c>
      <c r="BP334" s="94">
        <f t="shared" si="258"/>
        <v>1.4881033990439656E-3</v>
      </c>
      <c r="BQ334" s="249">
        <f t="shared" si="259"/>
        <v>0.35504634431508486</v>
      </c>
      <c r="BR334" s="247">
        <f t="shared" si="260"/>
        <v>236.8858437663942</v>
      </c>
      <c r="BS334" s="248">
        <f t="shared" si="261"/>
        <v>0.2382560749271318</v>
      </c>
      <c r="BT334" s="94">
        <f t="shared" si="262"/>
        <v>1.5807851278086594E-3</v>
      </c>
      <c r="BU334" s="249">
        <f t="shared" si="263"/>
        <v>0.23983709461705119</v>
      </c>
      <c r="BV334" s="283">
        <f t="shared" si="264"/>
        <v>0.23983697733599582</v>
      </c>
      <c r="BW334" s="282">
        <f t="shared" si="265"/>
        <v>2925.599894010255</v>
      </c>
      <c r="BX334" s="265">
        <f t="shared" si="225"/>
        <v>233.1628640760581</v>
      </c>
      <c r="BY334" s="265">
        <f t="shared" si="226"/>
        <v>232.96086282324515</v>
      </c>
      <c r="BZ334" s="284">
        <f t="shared" si="313"/>
        <v>169.2594170400277</v>
      </c>
      <c r="CA334" s="248">
        <f t="shared" si="266"/>
        <v>0.78803918524387162</v>
      </c>
      <c r="CB334" s="94">
        <f t="shared" si="267"/>
        <v>4.319535337383002E-3</v>
      </c>
      <c r="CC334" s="249">
        <f t="shared" si="268"/>
        <v>0.90904320572535813</v>
      </c>
      <c r="CD334" s="247">
        <f t="shared" si="269"/>
        <v>170.2594170400277</v>
      </c>
      <c r="CE334" s="248">
        <f t="shared" si="270"/>
        <v>0.77990947712634384</v>
      </c>
      <c r="CF334" s="94">
        <f t="shared" si="271"/>
        <v>4.2871211617106289E-3</v>
      </c>
      <c r="CG334" s="249">
        <f t="shared" si="272"/>
        <v>0.97283103539105376</v>
      </c>
      <c r="CH334" s="247">
        <f t="shared" si="273"/>
        <v>167.63767189680976</v>
      </c>
      <c r="CI334" s="248">
        <f t="shared" si="274"/>
        <v>0.8012234998992519</v>
      </c>
      <c r="CJ334" s="94">
        <f t="shared" si="275"/>
        <v>4.3716374514927055E-3</v>
      </c>
      <c r="CK334" s="249">
        <f t="shared" si="276"/>
        <v>0.80559560276860331</v>
      </c>
      <c r="CL334" s="249">
        <f t="shared" si="277"/>
        <v>0.80559537005967397</v>
      </c>
      <c r="CM334" s="249">
        <f t="shared" si="278"/>
        <v>2762.0807801703477</v>
      </c>
      <c r="CN334" s="265">
        <f t="shared" si="227"/>
        <v>154.49127475196551</v>
      </c>
      <c r="CO334" s="265">
        <f t="shared" si="228"/>
        <v>155.05652442240876</v>
      </c>
      <c r="CP334" s="94">
        <f t="shared" si="279"/>
        <v>1.2711111130724519E-2</v>
      </c>
      <c r="CQ334" s="157">
        <f t="shared" si="229"/>
        <v>2.3739670950690162</v>
      </c>
      <c r="CR334" s="285">
        <f t="shared" si="230"/>
        <v>3.4321107863043396</v>
      </c>
      <c r="CS334" s="157">
        <f t="shared" si="231"/>
        <v>8.016035119039179</v>
      </c>
      <c r="CT334" s="143">
        <f t="shared" si="232"/>
        <v>262.18466865223223</v>
      </c>
      <c r="CU334" s="247">
        <f t="shared" si="280"/>
        <v>236.8858437663942</v>
      </c>
      <c r="CV334" s="248">
        <f t="shared" si="281"/>
        <v>0.2056720620383114</v>
      </c>
      <c r="CW334" s="94">
        <f t="shared" si="282"/>
        <v>1.3487534837794779E-3</v>
      </c>
      <c r="CX334" s="249">
        <f t="shared" si="283"/>
        <v>0.24286155868387033</v>
      </c>
      <c r="CY334" s="247">
        <f t="shared" si="284"/>
        <v>237.8858437663942</v>
      </c>
      <c r="CZ334" s="248">
        <f t="shared" si="285"/>
        <v>0.19754235392078365</v>
      </c>
      <c r="DA334" s="94">
        <f t="shared" si="286"/>
        <v>1.2991025656207994E-3</v>
      </c>
      <c r="DB334" s="249">
        <f t="shared" si="287"/>
        <v>0.30473741545911881</v>
      </c>
      <c r="DC334" s="247">
        <f t="shared" si="288"/>
        <v>236.37423670406631</v>
      </c>
      <c r="DD334" s="248">
        <f t="shared" si="289"/>
        <v>0.20983127812590308</v>
      </c>
      <c r="DE334" s="94">
        <f t="shared" si="290"/>
        <v>1.3740425449006971E-3</v>
      </c>
      <c r="DF334" s="249">
        <f t="shared" si="291"/>
        <v>0.21120543337006376</v>
      </c>
      <c r="DG334" s="283">
        <f t="shared" si="292"/>
        <v>0.21120537702043377</v>
      </c>
      <c r="DH334" s="282">
        <f t="shared" si="293"/>
        <v>2914.8759270011228</v>
      </c>
      <c r="DI334" s="265">
        <f t="shared" si="233"/>
        <v>227.99840155579429</v>
      </c>
      <c r="DJ334" s="265">
        <f t="shared" si="234"/>
        <v>227.81729978773822</v>
      </c>
      <c r="DK334" s="284">
        <f t="shared" si="294"/>
        <v>167.63767189680976</v>
      </c>
      <c r="DL334" s="248">
        <f t="shared" si="295"/>
        <v>0.8012234998992519</v>
      </c>
      <c r="DM334" s="94">
        <f t="shared" si="296"/>
        <v>4.3716374514927055E-3</v>
      </c>
      <c r="DN334" s="249">
        <f t="shared" si="297"/>
        <v>0.80559560276860331</v>
      </c>
      <c r="DO334" s="247">
        <f t="shared" si="298"/>
        <v>168.63767189680976</v>
      </c>
      <c r="DP334" s="248">
        <f t="shared" si="299"/>
        <v>0.79309379178172401</v>
      </c>
      <c r="DQ334" s="94">
        <f t="shared" si="300"/>
        <v>4.3395781537214793E-3</v>
      </c>
      <c r="DR334" s="249">
        <f t="shared" si="301"/>
        <v>0.86938343243429883</v>
      </c>
      <c r="DS334" s="247">
        <f t="shared" si="302"/>
        <v>167.63766542814452</v>
      </c>
      <c r="DT334" s="248">
        <f t="shared" si="303"/>
        <v>0.80122355248761223</v>
      </c>
      <c r="DU334" s="94">
        <f t="shared" si="304"/>
        <v>4.3716376581689415E-3</v>
      </c>
      <c r="DV334" s="249">
        <f t="shared" si="305"/>
        <v>0.80559519014648628</v>
      </c>
      <c r="DW334" s="249">
        <f t="shared" si="306"/>
        <v>0.80559519014613379</v>
      </c>
      <c r="DX334" s="249">
        <f t="shared" si="307"/>
        <v>2762.0858095756257</v>
      </c>
      <c r="DY334" s="265">
        <f t="shared" si="235"/>
        <v>154.49369620940399</v>
      </c>
      <c r="DZ334" s="265">
        <f t="shared" si="236"/>
        <v>155.05894572435324</v>
      </c>
      <c r="EA334" s="94">
        <f t="shared" si="308"/>
        <v>1.206699128689951E-2</v>
      </c>
      <c r="EB334" s="157">
        <f t="shared" si="237"/>
        <v>2.2835138752896507</v>
      </c>
      <c r="EC334" s="285">
        <f t="shared" si="309"/>
        <v>3.3123814337434703</v>
      </c>
      <c r="ED334" s="157">
        <f t="shared" si="310"/>
        <v>7.7363953420431688</v>
      </c>
      <c r="EE334" s="143">
        <f t="shared" si="238"/>
        <v>262.32448854073027</v>
      </c>
    </row>
    <row r="335" spans="1:135" ht="12" customHeight="1" x14ac:dyDescent="0.2">
      <c r="A335" s="200" t="s">
        <v>442</v>
      </c>
      <c r="B335" s="236">
        <f t="shared" si="239"/>
        <v>233.1628640760581</v>
      </c>
      <c r="C335" s="237">
        <f t="shared" si="240"/>
        <v>4.9688718927892745</v>
      </c>
      <c r="D335" s="236">
        <f t="shared" si="241"/>
        <v>2925.599894010255</v>
      </c>
      <c r="E335" s="236">
        <f t="shared" si="242"/>
        <v>154.49127475196551</v>
      </c>
      <c r="F335" s="237">
        <f t="shared" si="243"/>
        <v>4.9962409007402995</v>
      </c>
      <c r="G335" s="238">
        <f t="shared" si="244"/>
        <v>2762.0858095756257</v>
      </c>
      <c r="H335" s="118">
        <v>0</v>
      </c>
      <c r="I335" s="239">
        <f t="shared" si="245"/>
        <v>258.45629086970865</v>
      </c>
      <c r="J335" s="154">
        <f t="shared" si="311"/>
        <v>0.23045161290322594</v>
      </c>
      <c r="K335" s="149">
        <f t="shared" si="183"/>
        <v>0.17564338000692897</v>
      </c>
      <c r="L335" s="240">
        <f t="shared" si="184"/>
        <v>258.45629086970865</v>
      </c>
      <c r="M335" s="154">
        <f t="shared" si="185"/>
        <v>0.66106026677370622</v>
      </c>
      <c r="N335" s="241">
        <f t="shared" si="186"/>
        <v>258.45629086970865</v>
      </c>
      <c r="O335" s="150">
        <f t="shared" si="187"/>
        <v>0.58349569151869141</v>
      </c>
      <c r="P335" s="150">
        <f t="shared" si="188"/>
        <v>3.2289041921018691</v>
      </c>
      <c r="Q335" s="152">
        <f t="shared" si="189"/>
        <v>2.7799117817940573E-5</v>
      </c>
      <c r="R335" s="152">
        <f t="shared" si="246"/>
        <v>582.53197575660511</v>
      </c>
      <c r="S335" s="153">
        <f t="shared" si="190"/>
        <v>0.10986521369384988</v>
      </c>
      <c r="T335" s="154">
        <f t="shared" si="191"/>
        <v>0.60527559381828588</v>
      </c>
      <c r="U335" s="155">
        <f t="shared" si="192"/>
        <v>0.68145284407098417</v>
      </c>
      <c r="V335" s="154">
        <f t="shared" si="193"/>
        <v>4.3141648027555442E-2</v>
      </c>
      <c r="W335" s="154">
        <f t="shared" si="247"/>
        <v>0.32049808098936799</v>
      </c>
      <c r="X335" s="154">
        <f t="shared" si="248"/>
        <v>0.21558498839340701</v>
      </c>
      <c r="Y335" s="154">
        <f t="shared" si="194"/>
        <v>5.8560000000000008</v>
      </c>
      <c r="Z335" s="154">
        <f t="shared" si="195"/>
        <v>33.299923006936027</v>
      </c>
      <c r="AA335" s="154">
        <f t="shared" si="196"/>
        <v>0.6643039386214693</v>
      </c>
      <c r="AB335" s="1"/>
      <c r="AC335" s="242">
        <f t="shared" si="197"/>
        <v>0.11881598195640292</v>
      </c>
      <c r="AD335" s="263">
        <f t="shared" si="198"/>
        <v>2.1710859804411289</v>
      </c>
      <c r="AE335" s="282">
        <f t="shared" si="199"/>
        <v>233.1628640760581</v>
      </c>
      <c r="AF335" s="243">
        <f t="shared" si="200"/>
        <v>0.34457112059282635</v>
      </c>
      <c r="AG335" s="243">
        <f t="shared" si="201"/>
        <v>21.462561669737894</v>
      </c>
      <c r="AH335" s="264">
        <f t="shared" si="202"/>
        <v>1.749539309016668E-5</v>
      </c>
      <c r="AI335" s="264">
        <f t="shared" si="203"/>
        <v>12041.721902679628</v>
      </c>
      <c r="AJ335" s="245">
        <f t="shared" si="204"/>
        <v>4.4289668474095586E-2</v>
      </c>
      <c r="AK335" s="264">
        <f t="shared" si="205"/>
        <v>59.413481384802488</v>
      </c>
      <c r="AL335" s="246">
        <f t="shared" si="206"/>
        <v>0.98122083890414369</v>
      </c>
      <c r="AM335" s="263">
        <f t="shared" si="207"/>
        <v>3.7912024698236006E-2</v>
      </c>
      <c r="AN335" s="263">
        <f t="shared" si="249"/>
        <v>1.0636144029010701</v>
      </c>
      <c r="AO335" s="263">
        <f t="shared" si="250"/>
        <v>1.0196465218394146</v>
      </c>
      <c r="AP335" s="235">
        <f t="shared" si="208"/>
        <v>42.799141524889208</v>
      </c>
      <c r="AQ335" s="235">
        <f t="shared" si="209"/>
        <v>358.88748795782055</v>
      </c>
      <c r="AR335" s="263">
        <f t="shared" si="210"/>
        <v>5.0975548702185609</v>
      </c>
      <c r="AT335" s="242">
        <f t="shared" si="211"/>
        <v>0.11665635568032727</v>
      </c>
      <c r="AU335" s="263">
        <f t="shared" si="212"/>
        <v>2.6739656257288464</v>
      </c>
      <c r="AV335" s="282">
        <f t="shared" si="213"/>
        <v>154.49127475196551</v>
      </c>
      <c r="AW335" s="243">
        <f t="shared" si="214"/>
        <v>0.27976931415491402</v>
      </c>
      <c r="AX335" s="243">
        <f t="shared" si="215"/>
        <v>17.426202602294133</v>
      </c>
      <c r="AY335" s="264">
        <f t="shared" si="216"/>
        <v>1.4231156138623518E-5</v>
      </c>
      <c r="AZ335" s="264">
        <f t="shared" si="217"/>
        <v>14803.762682223442</v>
      </c>
      <c r="BA335" s="245">
        <f t="shared" si="218"/>
        <v>4.3484649399890295E-2</v>
      </c>
      <c r="BB335" s="264">
        <f t="shared" si="219"/>
        <v>47.363059358878161</v>
      </c>
      <c r="BC335" s="246">
        <f t="shared" si="220"/>
        <v>1.05835757036463</v>
      </c>
      <c r="BD335" s="263">
        <f t="shared" si="221"/>
        <v>3.1647052112864213E-2</v>
      </c>
      <c r="BE335" s="263">
        <f t="shared" si="251"/>
        <v>1.128360284048485</v>
      </c>
      <c r="BF335" s="263">
        <f t="shared" si="252"/>
        <v>1.0406061756619018</v>
      </c>
      <c r="BG335" s="235">
        <f t="shared" si="222"/>
        <v>53.108605088440925</v>
      </c>
      <c r="BH335" s="235">
        <f t="shared" si="223"/>
        <v>371.74440256467653</v>
      </c>
      <c r="BI335" s="263">
        <f t="shared" si="224"/>
        <v>5.2801715115595531</v>
      </c>
      <c r="BJ335" s="247">
        <f t="shared" si="312"/>
        <v>236.8858437663942</v>
      </c>
      <c r="BK335" s="248">
        <f t="shared" si="253"/>
        <v>0.17380094181218572</v>
      </c>
      <c r="BL335" s="94">
        <f t="shared" si="254"/>
        <v>1.1375403074790026E-3</v>
      </c>
      <c r="BM335" s="249">
        <f t="shared" si="255"/>
        <v>0.23018590525246133</v>
      </c>
      <c r="BN335" s="247">
        <f t="shared" si="256"/>
        <v>237.8858437663942</v>
      </c>
      <c r="BO335" s="248">
        <f t="shared" si="257"/>
        <v>0.16574357791148658</v>
      </c>
      <c r="BP335" s="94">
        <f t="shared" si="258"/>
        <v>1.0878893893203243E-3</v>
      </c>
      <c r="BQ335" s="249">
        <f t="shared" si="259"/>
        <v>0.29201431271059619</v>
      </c>
      <c r="BR335" s="247">
        <f t="shared" si="260"/>
        <v>236.0958660793506</v>
      </c>
      <c r="BS335" s="248">
        <f t="shared" si="261"/>
        <v>0.18016607951012861</v>
      </c>
      <c r="BT335" s="94">
        <f t="shared" si="262"/>
        <v>1.1765574330907527E-3</v>
      </c>
      <c r="BU335" s="249">
        <f t="shared" si="263"/>
        <v>0.18134284293509451</v>
      </c>
      <c r="BV335" s="283">
        <f t="shared" si="264"/>
        <v>0.18134273993915695</v>
      </c>
      <c r="BW335" s="282">
        <f t="shared" si="265"/>
        <v>2925.8423005180844</v>
      </c>
      <c r="BX335" s="265">
        <f t="shared" si="225"/>
        <v>233.27833119491729</v>
      </c>
      <c r="BY335" s="265">
        <f t="shared" si="226"/>
        <v>233.11959700908122</v>
      </c>
      <c r="BZ335" s="284">
        <f t="shared" si="313"/>
        <v>167.63767189680976</v>
      </c>
      <c r="CA335" s="248">
        <f t="shared" si="266"/>
        <v>0.73175866202358353</v>
      </c>
      <c r="CB335" s="94">
        <f t="shared" si="267"/>
        <v>3.9283926311630473E-3</v>
      </c>
      <c r="CC335" s="249">
        <f t="shared" si="268"/>
        <v>0.841939584294494</v>
      </c>
      <c r="CD335" s="247">
        <f t="shared" si="269"/>
        <v>168.63767189680976</v>
      </c>
      <c r="CE335" s="248">
        <f t="shared" si="270"/>
        <v>0.72370129812288442</v>
      </c>
      <c r="CF335" s="94">
        <f t="shared" si="271"/>
        <v>3.8963333333918225E-3</v>
      </c>
      <c r="CG335" s="249">
        <f t="shared" si="272"/>
        <v>0.9059829548863132</v>
      </c>
      <c r="CH335" s="247">
        <f t="shared" si="273"/>
        <v>166.16465908174186</v>
      </c>
      <c r="CI335" s="248">
        <f t="shared" si="274"/>
        <v>0.74362726230497889</v>
      </c>
      <c r="CJ335" s="94">
        <f t="shared" si="275"/>
        <v>3.9752204669982064E-3</v>
      </c>
      <c r="CK335" s="249">
        <f t="shared" si="276"/>
        <v>0.74760287869260145</v>
      </c>
      <c r="CL335" s="249">
        <f t="shared" si="277"/>
        <v>0.7476026807322893</v>
      </c>
      <c r="CM335" s="249">
        <f t="shared" si="278"/>
        <v>2761.081436302813</v>
      </c>
      <c r="CN335" s="265">
        <f t="shared" si="227"/>
        <v>154.01150437275967</v>
      </c>
      <c r="CO335" s="265">
        <f t="shared" si="228"/>
        <v>154.5340143975842</v>
      </c>
      <c r="CP335" s="94">
        <f t="shared" si="279"/>
        <v>1.1480663509489392E-2</v>
      </c>
      <c r="CQ335" s="157">
        <f t="shared" si="229"/>
        <v>2.1797999339002003</v>
      </c>
      <c r="CR335" s="285">
        <f t="shared" si="230"/>
        <v>3.120226216041448</v>
      </c>
      <c r="CS335" s="157">
        <f t="shared" si="231"/>
        <v>7.2875977742162181</v>
      </c>
      <c r="CT335" s="143">
        <f t="shared" si="232"/>
        <v>254.81249198260053</v>
      </c>
      <c r="CU335" s="247">
        <f t="shared" si="280"/>
        <v>236.0958660793506</v>
      </c>
      <c r="CV335" s="248">
        <f t="shared" si="281"/>
        <v>0.15080666589573605</v>
      </c>
      <c r="CW335" s="94">
        <f t="shared" si="282"/>
        <v>9.7438633104082674E-4</v>
      </c>
      <c r="CX335" s="249">
        <f t="shared" si="283"/>
        <v>0.18401797678165951</v>
      </c>
      <c r="CY335" s="247">
        <f t="shared" si="284"/>
        <v>237.0958660793506</v>
      </c>
      <c r="CZ335" s="248">
        <f t="shared" si="285"/>
        <v>0.14274930199503691</v>
      </c>
      <c r="DA335" s="94">
        <f t="shared" si="286"/>
        <v>9.2496560586958023E-4</v>
      </c>
      <c r="DB335" s="249">
        <f t="shared" si="287"/>
        <v>0.24584638423979438</v>
      </c>
      <c r="DC335" s="247">
        <f t="shared" si="288"/>
        <v>235.63491182164069</v>
      </c>
      <c r="DD335" s="248">
        <f t="shared" si="289"/>
        <v>0.15452074209168148</v>
      </c>
      <c r="DE335" s="94">
        <f t="shared" si="290"/>
        <v>9.9706918335872941E-4</v>
      </c>
      <c r="DF335" s="249">
        <f t="shared" si="291"/>
        <v>0.15551790911640881</v>
      </c>
      <c r="DG335" s="283">
        <f t="shared" si="292"/>
        <v>0.1555178601957245</v>
      </c>
      <c r="DH335" s="282">
        <f t="shared" si="293"/>
        <v>2915.0838125851155</v>
      </c>
      <c r="DI335" s="265">
        <f t="shared" si="233"/>
        <v>228.09721455526682</v>
      </c>
      <c r="DJ335" s="265">
        <f t="shared" si="234"/>
        <v>227.95725717150253</v>
      </c>
      <c r="DK335" s="284">
        <f t="shared" si="294"/>
        <v>166.16465908174186</v>
      </c>
      <c r="DL335" s="248">
        <f t="shared" si="295"/>
        <v>0.74362726230497889</v>
      </c>
      <c r="DM335" s="94">
        <f t="shared" si="296"/>
        <v>3.9752204669982064E-3</v>
      </c>
      <c r="DN335" s="249">
        <f t="shared" si="297"/>
        <v>0.74760287869260145</v>
      </c>
      <c r="DO335" s="247">
        <f t="shared" si="298"/>
        <v>167.16465908174186</v>
      </c>
      <c r="DP335" s="248">
        <f t="shared" si="299"/>
        <v>0.73556989840427978</v>
      </c>
      <c r="DQ335" s="94">
        <f t="shared" si="300"/>
        <v>3.943481247575366E-3</v>
      </c>
      <c r="DR335" s="249">
        <f t="shared" si="301"/>
        <v>0.81164624928442064</v>
      </c>
      <c r="DS335" s="247">
        <f t="shared" si="302"/>
        <v>166.16465359294321</v>
      </c>
      <c r="DT335" s="248">
        <f t="shared" si="303"/>
        <v>0.74362730653022691</v>
      </c>
      <c r="DU335" s="94">
        <f t="shared" si="304"/>
        <v>3.9752206406144883E-3</v>
      </c>
      <c r="DV335" s="249">
        <f t="shared" si="305"/>
        <v>0.74760252717143549</v>
      </c>
      <c r="DW335" s="249">
        <f t="shared" si="306"/>
        <v>0.7476025271711384</v>
      </c>
      <c r="DX335" s="249">
        <f t="shared" si="307"/>
        <v>2761.0864659133613</v>
      </c>
      <c r="DY335" s="265">
        <f t="shared" si="235"/>
        <v>154.01392591803653</v>
      </c>
      <c r="DZ335" s="265">
        <f t="shared" si="236"/>
        <v>154.53643582119489</v>
      </c>
      <c r="EA335" s="94">
        <f t="shared" si="308"/>
        <v>1.0919436530198797E-2</v>
      </c>
      <c r="EB335" s="157">
        <f t="shared" si="237"/>
        <v>2.0982982017066472</v>
      </c>
      <c r="EC335" s="285">
        <f t="shared" si="309"/>
        <v>3.0123380256040062</v>
      </c>
      <c r="ED335" s="157">
        <f t="shared" si="310"/>
        <v>7.0356142056999564</v>
      </c>
      <c r="EE335" s="143">
        <f t="shared" si="238"/>
        <v>254.93848376685867</v>
      </c>
    </row>
    <row r="336" spans="1:135" ht="12" customHeight="1" x14ac:dyDescent="0.2">
      <c r="A336" s="200" t="s">
        <v>442</v>
      </c>
      <c r="B336" s="236">
        <f t="shared" si="239"/>
        <v>233.27833119491729</v>
      </c>
      <c r="C336" s="237">
        <f t="shared" si="240"/>
        <v>4.9682777579754269</v>
      </c>
      <c r="D336" s="236">
        <f t="shared" si="241"/>
        <v>2925.8423005180844</v>
      </c>
      <c r="E336" s="236">
        <f t="shared" si="242"/>
        <v>154.01150437275967</v>
      </c>
      <c r="F336" s="237">
        <f t="shared" si="243"/>
        <v>4.9967145313338879</v>
      </c>
      <c r="G336" s="238">
        <f t="shared" si="244"/>
        <v>2761.0864659133613</v>
      </c>
      <c r="H336" s="118">
        <v>0</v>
      </c>
      <c r="I336" s="239">
        <f t="shared" si="245"/>
        <v>251.42067666400871</v>
      </c>
      <c r="J336" s="154">
        <f t="shared" si="311"/>
        <v>0.24258064516129046</v>
      </c>
      <c r="K336" s="149">
        <f t="shared" si="183"/>
        <v>0.1741469643019164</v>
      </c>
      <c r="L336" s="240">
        <f t="shared" si="184"/>
        <v>251.42067666400871</v>
      </c>
      <c r="M336" s="154">
        <f t="shared" si="185"/>
        <v>0.67245071652274013</v>
      </c>
      <c r="N336" s="241">
        <f t="shared" si="186"/>
        <v>251.42067666400871</v>
      </c>
      <c r="O336" s="150">
        <f t="shared" si="187"/>
        <v>0.57361202541541256</v>
      </c>
      <c r="P336" s="150">
        <f t="shared" si="188"/>
        <v>3.1742107104222534</v>
      </c>
      <c r="Q336" s="152">
        <f t="shared" si="189"/>
        <v>2.7562279762975906E-5</v>
      </c>
      <c r="R336" s="152">
        <f t="shared" si="246"/>
        <v>587.5375754849066</v>
      </c>
      <c r="S336" s="153">
        <f t="shared" si="190"/>
        <v>0.10892920328913348</v>
      </c>
      <c r="T336" s="154">
        <f t="shared" si="191"/>
        <v>0.58995363142621249</v>
      </c>
      <c r="U336" s="155">
        <f t="shared" si="192"/>
        <v>0.68149258091972431</v>
      </c>
      <c r="V336" s="154">
        <f t="shared" si="193"/>
        <v>4.2789381859890251E-2</v>
      </c>
      <c r="W336" s="154">
        <f t="shared" si="247"/>
        <v>0.31506486589170601</v>
      </c>
      <c r="X336" s="154">
        <f t="shared" si="248"/>
        <v>0.21183377903612788</v>
      </c>
      <c r="Y336" s="154">
        <f t="shared" si="194"/>
        <v>5.8560000000000008</v>
      </c>
      <c r="Z336" s="154">
        <f t="shared" si="195"/>
        <v>33.028017857329615</v>
      </c>
      <c r="AA336" s="154">
        <f t="shared" si="196"/>
        <v>0.65887967197144193</v>
      </c>
      <c r="AB336" s="1"/>
      <c r="AC336" s="242">
        <f t="shared" si="197"/>
        <v>0.118819086171258</v>
      </c>
      <c r="AD336" s="263">
        <f t="shared" si="198"/>
        <v>2.1702799710753857</v>
      </c>
      <c r="AE336" s="282">
        <f t="shared" si="199"/>
        <v>233.27833119491729</v>
      </c>
      <c r="AF336" s="243">
        <f t="shared" si="200"/>
        <v>0.34469908912871294</v>
      </c>
      <c r="AG336" s="243">
        <f t="shared" si="201"/>
        <v>21.470532542597251</v>
      </c>
      <c r="AH336" s="264">
        <f t="shared" si="202"/>
        <v>1.7500186390441566E-5</v>
      </c>
      <c r="AI336" s="264">
        <f t="shared" si="203"/>
        <v>12038.423675585445</v>
      </c>
      <c r="AJ336" s="245">
        <f t="shared" si="204"/>
        <v>4.4290825596601663E-2</v>
      </c>
      <c r="AK336" s="264">
        <f t="shared" si="205"/>
        <v>59.437099486261907</v>
      </c>
      <c r="AL336" s="246">
        <f t="shared" si="206"/>
        <v>0.9811285714690603</v>
      </c>
      <c r="AM336" s="263">
        <f t="shared" si="207"/>
        <v>3.7921848146181492E-2</v>
      </c>
      <c r="AN336" s="263">
        <f t="shared" si="249"/>
        <v>1.061380109624892</v>
      </c>
      <c r="AO336" s="263">
        <f t="shared" si="250"/>
        <v>1.0189285373775099</v>
      </c>
      <c r="AP336" s="235">
        <f t="shared" si="208"/>
        <v>42.758024317516849</v>
      </c>
      <c r="AQ336" s="235">
        <f t="shared" si="209"/>
        <v>358.6356067414867</v>
      </c>
      <c r="AR336" s="263">
        <f t="shared" si="210"/>
        <v>5.0939772076805179</v>
      </c>
      <c r="AT336" s="242">
        <f t="shared" si="211"/>
        <v>0.11664289443857685</v>
      </c>
      <c r="AU336" s="263">
        <f t="shared" si="212"/>
        <v>2.6742044332546184</v>
      </c>
      <c r="AV336" s="282">
        <f t="shared" si="213"/>
        <v>154.01150437275967</v>
      </c>
      <c r="AW336" s="243">
        <f t="shared" si="214"/>
        <v>0.27974433064323129</v>
      </c>
      <c r="AX336" s="243">
        <f t="shared" si="215"/>
        <v>17.42464643542996</v>
      </c>
      <c r="AY336" s="264">
        <f t="shared" si="216"/>
        <v>1.4211259324501631E-5</v>
      </c>
      <c r="AZ336" s="264">
        <f t="shared" si="217"/>
        <v>14824.489044867807</v>
      </c>
      <c r="BA336" s="245">
        <f t="shared" si="218"/>
        <v>4.3479631607464063E-2</v>
      </c>
      <c r="BB336" s="264">
        <f t="shared" si="219"/>
        <v>47.353364975827546</v>
      </c>
      <c r="BC336" s="246">
        <f t="shared" si="220"/>
        <v>1.0589415221127974</v>
      </c>
      <c r="BD336" s="263">
        <f t="shared" si="221"/>
        <v>3.1612438325595509E-2</v>
      </c>
      <c r="BE336" s="263">
        <f t="shared" si="251"/>
        <v>1.1429859687795823</v>
      </c>
      <c r="BF336" s="263">
        <f t="shared" si="252"/>
        <v>1.0456647302204856</v>
      </c>
      <c r="BG336" s="235">
        <f t="shared" si="222"/>
        <v>53.438329515742168</v>
      </c>
      <c r="BH336" s="235">
        <f t="shared" si="223"/>
        <v>373.64325755092665</v>
      </c>
      <c r="BI336" s="263">
        <f t="shared" si="224"/>
        <v>5.3071424085893648</v>
      </c>
      <c r="BJ336" s="247">
        <f t="shared" si="312"/>
        <v>236.0958660793506</v>
      </c>
      <c r="BK336" s="248">
        <f t="shared" si="253"/>
        <v>0.12246933936492108</v>
      </c>
      <c r="BL336" s="94">
        <f t="shared" si="254"/>
        <v>7.8992145161491773E-4</v>
      </c>
      <c r="BM336" s="249">
        <f t="shared" si="255"/>
        <v>0.17408143192463474</v>
      </c>
      <c r="BN336" s="247">
        <f t="shared" si="256"/>
        <v>237.0958660793506</v>
      </c>
      <c r="BO336" s="248">
        <f t="shared" si="257"/>
        <v>0.11447776656939648</v>
      </c>
      <c r="BP336" s="94">
        <f t="shared" si="258"/>
        <v>7.4050072644367101E-4</v>
      </c>
      <c r="BQ336" s="249">
        <f t="shared" si="259"/>
        <v>0.23586644579843721</v>
      </c>
      <c r="BR336" s="247">
        <f t="shared" si="260"/>
        <v>235.36802593776886</v>
      </c>
      <c r="BS336" s="248">
        <f t="shared" si="261"/>
        <v>0.12828592683987644</v>
      </c>
      <c r="BT336" s="94">
        <f t="shared" si="262"/>
        <v>8.2570919078892361E-4</v>
      </c>
      <c r="BU336" s="249">
        <f t="shared" si="263"/>
        <v>0.12911181867909677</v>
      </c>
      <c r="BV336" s="283">
        <f t="shared" si="264"/>
        <v>0.12911172735488108</v>
      </c>
      <c r="BW336" s="282">
        <f t="shared" si="265"/>
        <v>2926.0148881990604</v>
      </c>
      <c r="BX336" s="265">
        <f t="shared" si="225"/>
        <v>233.36017518103978</v>
      </c>
      <c r="BY336" s="265">
        <f t="shared" si="226"/>
        <v>233.23988609506051</v>
      </c>
      <c r="BZ336" s="284">
        <f t="shared" si="313"/>
        <v>166.16465908174186</v>
      </c>
      <c r="CA336" s="248">
        <f t="shared" si="266"/>
        <v>0.68132967076521012</v>
      </c>
      <c r="CB336" s="94">
        <f t="shared" si="267"/>
        <v>3.5885844855223716E-3</v>
      </c>
      <c r="CC336" s="249">
        <f t="shared" si="268"/>
        <v>0.78230466308304158</v>
      </c>
      <c r="CD336" s="247">
        <f t="shared" si="269"/>
        <v>167.16465908174186</v>
      </c>
      <c r="CE336" s="248">
        <f t="shared" si="270"/>
        <v>0.67333809796968547</v>
      </c>
      <c r="CF336" s="94">
        <f t="shared" si="271"/>
        <v>3.5568452660995308E-3</v>
      </c>
      <c r="CG336" s="249">
        <f t="shared" si="272"/>
        <v>0.84667516455496428</v>
      </c>
      <c r="CH336" s="247">
        <f t="shared" si="273"/>
        <v>164.81942800270812</v>
      </c>
      <c r="CI336" s="248">
        <f t="shared" si="274"/>
        <v>0.6920801828601103</v>
      </c>
      <c r="CJ336" s="94">
        <f t="shared" si="275"/>
        <v>3.6309404010401651E-3</v>
      </c>
      <c r="CK336" s="249">
        <f t="shared" si="276"/>
        <v>0.69571146393002425</v>
      </c>
      <c r="CL336" s="249">
        <f t="shared" si="277"/>
        <v>0.69571129359558737</v>
      </c>
      <c r="CM336" s="249">
        <f t="shared" si="278"/>
        <v>2760.1514572741821</v>
      </c>
      <c r="CN336" s="265">
        <f t="shared" si="227"/>
        <v>153.56513414663246</v>
      </c>
      <c r="CO336" s="265">
        <f t="shared" si="228"/>
        <v>154.04957427210832</v>
      </c>
      <c r="CP336" s="94">
        <f t="shared" si="279"/>
        <v>1.0407362024912475E-2</v>
      </c>
      <c r="CQ336" s="157">
        <f t="shared" si="229"/>
        <v>2.0059187994828069</v>
      </c>
      <c r="CR336" s="285">
        <f t="shared" si="230"/>
        <v>2.841149352792625</v>
      </c>
      <c r="CS336" s="157">
        <f t="shared" si="231"/>
        <v>6.6357860828102035</v>
      </c>
      <c r="CT336" s="143">
        <f t="shared" si="232"/>
        <v>248.1027836226036</v>
      </c>
      <c r="CU336" s="247">
        <f t="shared" si="280"/>
        <v>235.36802593776886</v>
      </c>
      <c r="CV336" s="248">
        <f t="shared" si="281"/>
        <v>0.10177074307172299</v>
      </c>
      <c r="CW336" s="94">
        <f t="shared" si="282"/>
        <v>6.4869457698405538E-4</v>
      </c>
      <c r="CX336" s="249">
        <f t="shared" si="283"/>
        <v>0.13148714970712722</v>
      </c>
      <c r="CY336" s="247">
        <f t="shared" si="284"/>
        <v>236.36802593776886</v>
      </c>
      <c r="CZ336" s="248">
        <f t="shared" si="285"/>
        <v>9.3779170276198406E-2</v>
      </c>
      <c r="DA336" s="94">
        <f t="shared" si="286"/>
        <v>5.9948530769001666E-4</v>
      </c>
      <c r="DB336" s="249">
        <f t="shared" si="287"/>
        <v>0.19327216358092966</v>
      </c>
      <c r="DC336" s="247">
        <f t="shared" si="288"/>
        <v>234.9517369192524</v>
      </c>
      <c r="DD336" s="248">
        <f t="shared" si="289"/>
        <v>0.10509754706717481</v>
      </c>
      <c r="DE336" s="94">
        <f t="shared" si="290"/>
        <v>6.6909443569138256E-4</v>
      </c>
      <c r="DF336" s="249">
        <f t="shared" si="291"/>
        <v>0.10576672692257577</v>
      </c>
      <c r="DG336" s="283">
        <f t="shared" si="292"/>
        <v>0.10576668421272098</v>
      </c>
      <c r="DH336" s="282">
        <f t="shared" si="293"/>
        <v>2915.2251942173402</v>
      </c>
      <c r="DI336" s="265">
        <f t="shared" si="233"/>
        <v>228.16400061822091</v>
      </c>
      <c r="DJ336" s="265">
        <f t="shared" si="234"/>
        <v>228.06062889486174</v>
      </c>
      <c r="DK336" s="284">
        <f t="shared" si="294"/>
        <v>164.81942800270812</v>
      </c>
      <c r="DL336" s="248">
        <f t="shared" si="295"/>
        <v>0.6920801828601103</v>
      </c>
      <c r="DM336" s="94">
        <f t="shared" si="296"/>
        <v>3.6309404010401651E-3</v>
      </c>
      <c r="DN336" s="249">
        <f t="shared" si="297"/>
        <v>0.69571146393002425</v>
      </c>
      <c r="DO336" s="247">
        <f t="shared" si="298"/>
        <v>165.81942800270812</v>
      </c>
      <c r="DP336" s="248">
        <f t="shared" si="299"/>
        <v>0.68408861006458566</v>
      </c>
      <c r="DQ336" s="94">
        <f t="shared" si="300"/>
        <v>3.5994916259986646E-3</v>
      </c>
      <c r="DR336" s="249">
        <f t="shared" si="301"/>
        <v>0.76008196540194695</v>
      </c>
      <c r="DS336" s="247">
        <f t="shared" si="302"/>
        <v>164.81942329691594</v>
      </c>
      <c r="DT336" s="248">
        <f t="shared" si="303"/>
        <v>0.69208022046679107</v>
      </c>
      <c r="DU336" s="94">
        <f t="shared" si="304"/>
        <v>3.6309405485254981E-3</v>
      </c>
      <c r="DV336" s="249">
        <f t="shared" si="305"/>
        <v>0.69571116101582187</v>
      </c>
      <c r="DW336" s="249">
        <f t="shared" si="306"/>
        <v>0.69571116101556929</v>
      </c>
      <c r="DX336" s="249">
        <f t="shared" si="307"/>
        <v>2760.1564870619541</v>
      </c>
      <c r="DY336" s="265">
        <f t="shared" si="235"/>
        <v>153.56755576624607</v>
      </c>
      <c r="DZ336" s="265">
        <f t="shared" si="236"/>
        <v>154.05199579372049</v>
      </c>
      <c r="EA336" s="94">
        <f t="shared" si="308"/>
        <v>9.9159694569901594E-3</v>
      </c>
      <c r="EB336" s="157">
        <f t="shared" si="237"/>
        <v>1.932312649342413</v>
      </c>
      <c r="EC336" s="285">
        <f t="shared" si="309"/>
        <v>2.7437064640279463</v>
      </c>
      <c r="ED336" s="157">
        <f t="shared" si="310"/>
        <v>6.4081985522575016</v>
      </c>
      <c r="EE336" s="143">
        <f t="shared" si="238"/>
        <v>248.21657738787997</v>
      </c>
    </row>
    <row r="337" spans="1:135" ht="12" customHeight="1" x14ac:dyDescent="0.2">
      <c r="A337" s="200" t="s">
        <v>442</v>
      </c>
      <c r="B337" s="236">
        <f t="shared" si="239"/>
        <v>233.36017518103978</v>
      </c>
      <c r="C337" s="237">
        <f t="shared" si="240"/>
        <v>4.9676833869805641</v>
      </c>
      <c r="D337" s="236">
        <f t="shared" si="241"/>
        <v>2926.0148881990604</v>
      </c>
      <c r="E337" s="236">
        <f t="shared" si="242"/>
        <v>153.56513414663246</v>
      </c>
      <c r="F337" s="237">
        <f t="shared" si="243"/>
        <v>4.9971880649836464</v>
      </c>
      <c r="G337" s="238">
        <f t="shared" si="244"/>
        <v>2760.1564870619541</v>
      </c>
      <c r="H337" s="118">
        <v>0</v>
      </c>
      <c r="I337" s="239">
        <f t="shared" si="245"/>
        <v>245.01247811175122</v>
      </c>
      <c r="J337" s="154">
        <f t="shared" si="311"/>
        <v>0.25470967741935496</v>
      </c>
      <c r="K337" s="149">
        <f t="shared" si="183"/>
        <v>0.17277919669773348</v>
      </c>
      <c r="L337" s="240">
        <f t="shared" si="184"/>
        <v>245.01247811175122</v>
      </c>
      <c r="M337" s="154">
        <f t="shared" si="185"/>
        <v>0.68328388231602499</v>
      </c>
      <c r="N337" s="241">
        <f t="shared" si="186"/>
        <v>245.01247811175122</v>
      </c>
      <c r="O337" s="150">
        <f t="shared" si="187"/>
        <v>0.56451765873536686</v>
      </c>
      <c r="P337" s="150">
        <f t="shared" si="188"/>
        <v>3.1238849940124513</v>
      </c>
      <c r="Q337" s="152">
        <f t="shared" si="189"/>
        <v>2.7345802872274231E-5</v>
      </c>
      <c r="R337" s="152">
        <f t="shared" si="246"/>
        <v>592.1886843993326</v>
      </c>
      <c r="S337" s="153">
        <f t="shared" si="190"/>
        <v>0.1080736624762027</v>
      </c>
      <c r="T337" s="154">
        <f t="shared" si="191"/>
        <v>0.57604008414832497</v>
      </c>
      <c r="U337" s="155">
        <f t="shared" si="192"/>
        <v>0.68154241619861244</v>
      </c>
      <c r="V337" s="154">
        <f t="shared" si="193"/>
        <v>4.2468529766577272E-2</v>
      </c>
      <c r="W337" s="154">
        <f t="shared" si="247"/>
        <v>0.30998229076997802</v>
      </c>
      <c r="X337" s="154">
        <f t="shared" si="248"/>
        <v>0.20833078833541882</v>
      </c>
      <c r="Y337" s="154">
        <f t="shared" si="194"/>
        <v>5.8560000000000008</v>
      </c>
      <c r="Z337" s="154">
        <f t="shared" si="195"/>
        <v>32.780360419739097</v>
      </c>
      <c r="AA337" s="154">
        <f t="shared" si="196"/>
        <v>0.65393912567690504</v>
      </c>
      <c r="AB337" s="1"/>
      <c r="AC337" s="242">
        <f t="shared" si="197"/>
        <v>0.1188212863532728</v>
      </c>
      <c r="AD337" s="263">
        <f t="shared" si="198"/>
        <v>2.1696315433950994</v>
      </c>
      <c r="AE337" s="282">
        <f t="shared" si="199"/>
        <v>233.36017518103978</v>
      </c>
      <c r="AF337" s="243">
        <f t="shared" si="200"/>
        <v>0.3448021077409934</v>
      </c>
      <c r="AG337" s="243">
        <f t="shared" si="201"/>
        <v>21.476949340718335</v>
      </c>
      <c r="AH337" s="264">
        <f t="shared" si="202"/>
        <v>1.7503583922880058E-5</v>
      </c>
      <c r="AI337" s="264">
        <f t="shared" si="203"/>
        <v>12036.086957852302</v>
      </c>
      <c r="AJ337" s="245">
        <f t="shared" si="204"/>
        <v>4.4291645733172735E-2</v>
      </c>
      <c r="AK337" s="264">
        <f t="shared" si="205"/>
        <v>59.455964105723552</v>
      </c>
      <c r="AL337" s="246">
        <f t="shared" si="206"/>
        <v>0.98106182286926169</v>
      </c>
      <c r="AM337" s="263">
        <f t="shared" si="207"/>
        <v>3.7928753996562613E-2</v>
      </c>
      <c r="AN337" s="263">
        <f t="shared" si="249"/>
        <v>1.059327300581967</v>
      </c>
      <c r="AO337" s="263">
        <f t="shared" si="250"/>
        <v>1.0182711197234657</v>
      </c>
      <c r="AP337" s="235">
        <f t="shared" si="208"/>
        <v>42.722638485478306</v>
      </c>
      <c r="AQ337" s="235">
        <f t="shared" si="209"/>
        <v>358.4040620188855</v>
      </c>
      <c r="AR337" s="263">
        <f t="shared" si="210"/>
        <v>5.0906883999957317</v>
      </c>
      <c r="AT337" s="242">
        <f t="shared" si="211"/>
        <v>0.11663036694787843</v>
      </c>
      <c r="AU337" s="263">
        <f t="shared" si="212"/>
        <v>2.6744431905904724</v>
      </c>
      <c r="AV337" s="282">
        <f t="shared" si="213"/>
        <v>153.56513414663246</v>
      </c>
      <c r="AW337" s="243">
        <f t="shared" si="214"/>
        <v>0.27971935684257637</v>
      </c>
      <c r="AX337" s="243">
        <f t="shared" si="215"/>
        <v>17.423090873443915</v>
      </c>
      <c r="AY337" s="264">
        <f t="shared" si="216"/>
        <v>1.4192747772579602E-5</v>
      </c>
      <c r="AZ337" s="264">
        <f t="shared" si="217"/>
        <v>14843.824574750315</v>
      </c>
      <c r="BA337" s="245">
        <f t="shared" si="218"/>
        <v>4.3474961878689378E-2</v>
      </c>
      <c r="BB337" s="264">
        <f t="shared" si="219"/>
        <v>47.34405225238703</v>
      </c>
      <c r="BC337" s="246">
        <f t="shared" si="220"/>
        <v>1.0594867758605218</v>
      </c>
      <c r="BD337" s="263">
        <f t="shared" si="221"/>
        <v>3.1580291662218082E-2</v>
      </c>
      <c r="BE337" s="263">
        <f t="shared" si="251"/>
        <v>1.1624502164914017</v>
      </c>
      <c r="BF337" s="263">
        <f t="shared" si="252"/>
        <v>1.0525945183468477</v>
      </c>
      <c r="BG337" s="235">
        <f t="shared" si="222"/>
        <v>53.859684703078322</v>
      </c>
      <c r="BH337" s="235">
        <f t="shared" si="223"/>
        <v>376.20643894504104</v>
      </c>
      <c r="BI337" s="263">
        <f t="shared" si="224"/>
        <v>5.3435492442613759</v>
      </c>
      <c r="BJ337" s="247">
        <f t="shared" si="312"/>
        <v>235.36802593776886</v>
      </c>
      <c r="BK337" s="248">
        <f t="shared" si="253"/>
        <v>7.6496407031606914E-2</v>
      </c>
      <c r="BL337" s="94">
        <f t="shared" si="254"/>
        <v>4.8683535533255989E-4</v>
      </c>
      <c r="BM337" s="249">
        <f t="shared" si="255"/>
        <v>0.12397499358491848</v>
      </c>
      <c r="BN337" s="247">
        <f t="shared" si="256"/>
        <v>236.36802593776886</v>
      </c>
      <c r="BO337" s="248">
        <f t="shared" si="257"/>
        <v>6.8564758281461247E-2</v>
      </c>
      <c r="BP337" s="94">
        <f t="shared" si="258"/>
        <v>4.3762608603852129E-4</v>
      </c>
      <c r="BQ337" s="249">
        <f t="shared" si="259"/>
        <v>0.18572011740422145</v>
      </c>
      <c r="BR337" s="247">
        <f t="shared" si="260"/>
        <v>234.69407700282724</v>
      </c>
      <c r="BS337" s="248">
        <f t="shared" si="261"/>
        <v>8.1841933259098637E-2</v>
      </c>
      <c r="BT337" s="94">
        <f t="shared" si="262"/>
        <v>5.1983649683282074E-4</v>
      </c>
      <c r="BU337" s="249">
        <f t="shared" si="263"/>
        <v>8.2361933149060776E-2</v>
      </c>
      <c r="BV337" s="283">
        <f t="shared" si="264"/>
        <v>8.236185145249611E-2</v>
      </c>
      <c r="BW337" s="282">
        <f t="shared" si="265"/>
        <v>2926.1249838598828</v>
      </c>
      <c r="BX337" s="265">
        <f t="shared" si="225"/>
        <v>233.41192408837398</v>
      </c>
      <c r="BY337" s="265">
        <f t="shared" si="226"/>
        <v>233.32590509171723</v>
      </c>
      <c r="BZ337" s="284">
        <f t="shared" si="313"/>
        <v>164.81942800270812</v>
      </c>
      <c r="CA337" s="248">
        <f t="shared" si="266"/>
        <v>0.63606310566776114</v>
      </c>
      <c r="CB337" s="94">
        <f t="shared" si="267"/>
        <v>3.2920665655837948E-3</v>
      </c>
      <c r="CC337" s="249">
        <f t="shared" si="268"/>
        <v>0.72941420675572599</v>
      </c>
      <c r="CD337" s="247">
        <f t="shared" si="269"/>
        <v>165.81942800270812</v>
      </c>
      <c r="CE337" s="248">
        <f t="shared" si="270"/>
        <v>0.62813145691761552</v>
      </c>
      <c r="CF337" s="94">
        <f t="shared" si="271"/>
        <v>3.2606177905422948E-3</v>
      </c>
      <c r="CG337" s="249">
        <f t="shared" si="272"/>
        <v>0.7942262879119284</v>
      </c>
      <c r="CH337" s="247">
        <f t="shared" si="273"/>
        <v>163.58193142552128</v>
      </c>
      <c r="CI337" s="248">
        <f t="shared" si="274"/>
        <v>0.64587849384751472</v>
      </c>
      <c r="CJ337" s="94">
        <f t="shared" si="275"/>
        <v>3.3306871079463039E-3</v>
      </c>
      <c r="CK337" s="249">
        <f t="shared" si="276"/>
        <v>0.64920947816456942</v>
      </c>
      <c r="CL337" s="249">
        <f t="shared" si="277"/>
        <v>0.6492093295600152</v>
      </c>
      <c r="CM337" s="249">
        <f t="shared" si="278"/>
        <v>2759.2836388741644</v>
      </c>
      <c r="CN337" s="265">
        <f t="shared" si="227"/>
        <v>153.14869513815896</v>
      </c>
      <c r="CO337" s="265">
        <f t="shared" si="228"/>
        <v>153.59913470513362</v>
      </c>
      <c r="CP337" s="94">
        <f t="shared" si="279"/>
        <v>9.4666482576855893E-3</v>
      </c>
      <c r="CQ337" s="157">
        <f t="shared" si="229"/>
        <v>1.8497802467537934</v>
      </c>
      <c r="CR337" s="285">
        <f t="shared" si="230"/>
        <v>2.5908182246285443</v>
      </c>
      <c r="CS337" s="157">
        <f t="shared" si="231"/>
        <v>6.0511129065364484</v>
      </c>
      <c r="CT337" s="143">
        <f t="shared" si="232"/>
        <v>241.986921658483</v>
      </c>
      <c r="CU337" s="247">
        <f t="shared" si="280"/>
        <v>234.69407700282724</v>
      </c>
      <c r="CV337" s="248">
        <f t="shared" si="281"/>
        <v>5.7844282198038541E-2</v>
      </c>
      <c r="CW337" s="94">
        <f t="shared" si="282"/>
        <v>3.6415026272497046E-4</v>
      </c>
      <c r="CX337" s="249">
        <f t="shared" si="283"/>
        <v>8.4477944057580009E-2</v>
      </c>
      <c r="CY337" s="247">
        <f t="shared" si="284"/>
        <v>235.69407700282724</v>
      </c>
      <c r="CZ337" s="248">
        <f t="shared" si="285"/>
        <v>4.9912633447892873E-2</v>
      </c>
      <c r="DA337" s="94">
        <f t="shared" si="286"/>
        <v>3.1513625393651254E-4</v>
      </c>
      <c r="DB337" s="249">
        <f t="shared" si="287"/>
        <v>0.146223067876883</v>
      </c>
      <c r="DC337" s="247">
        <f t="shared" si="288"/>
        <v>234.31732239185789</v>
      </c>
      <c r="DD337" s="248">
        <f t="shared" si="289"/>
        <v>6.0832567437245265E-2</v>
      </c>
      <c r="DE337" s="94">
        <f t="shared" si="290"/>
        <v>3.8254156214861121E-4</v>
      </c>
      <c r="DF337" s="249">
        <f t="shared" si="291"/>
        <v>6.1215183953783739E-2</v>
      </c>
      <c r="DG337" s="283">
        <f t="shared" si="292"/>
        <v>6.1215146476588808E-2</v>
      </c>
      <c r="DH337" s="282">
        <f t="shared" si="293"/>
        <v>2915.3070224167413</v>
      </c>
      <c r="DI337" s="265">
        <f t="shared" si="233"/>
        <v>228.20210661214193</v>
      </c>
      <c r="DJ337" s="265">
        <f t="shared" si="234"/>
        <v>228.13136775350182</v>
      </c>
      <c r="DK337" s="284">
        <f t="shared" si="294"/>
        <v>163.58193142552128</v>
      </c>
      <c r="DL337" s="248">
        <f t="shared" si="295"/>
        <v>0.64587849384751472</v>
      </c>
      <c r="DM337" s="94">
        <f t="shared" si="296"/>
        <v>3.3306871079463039E-3</v>
      </c>
      <c r="DN337" s="249">
        <f t="shared" si="297"/>
        <v>0.64920947816456942</v>
      </c>
      <c r="DO337" s="247">
        <f t="shared" si="298"/>
        <v>164.58193142552128</v>
      </c>
      <c r="DP337" s="248">
        <f t="shared" si="299"/>
        <v>0.63794684509736921</v>
      </c>
      <c r="DQ337" s="94">
        <f t="shared" si="300"/>
        <v>3.2995039470430461E-3</v>
      </c>
      <c r="DR337" s="249">
        <f t="shared" si="301"/>
        <v>0.71402155932077183</v>
      </c>
      <c r="DS337" s="247">
        <f t="shared" si="302"/>
        <v>163.58192734157126</v>
      </c>
      <c r="DT337" s="248">
        <f t="shared" si="303"/>
        <v>0.64587852623997188</v>
      </c>
      <c r="DU337" s="94">
        <f t="shared" si="304"/>
        <v>3.3306872348600582E-3</v>
      </c>
      <c r="DV337" s="249">
        <f t="shared" si="305"/>
        <v>0.64920921347526939</v>
      </c>
      <c r="DW337" s="249">
        <f t="shared" si="306"/>
        <v>0.64920921347505067</v>
      </c>
      <c r="DX337" s="249">
        <f t="shared" si="307"/>
        <v>2759.2886688171106</v>
      </c>
      <c r="DY337" s="265">
        <f t="shared" si="235"/>
        <v>153.15111682149518</v>
      </c>
      <c r="DZ337" s="265">
        <f t="shared" si="236"/>
        <v>153.60155630760784</v>
      </c>
      <c r="EA337" s="94">
        <f t="shared" si="308"/>
        <v>9.0344632718021966E-3</v>
      </c>
      <c r="EB337" s="157">
        <f t="shared" si="237"/>
        <v>1.7831627674082904</v>
      </c>
      <c r="EC337" s="285">
        <f t="shared" si="309"/>
        <v>2.5026215906319509</v>
      </c>
      <c r="ED337" s="157">
        <f t="shared" si="310"/>
        <v>5.845120920986643</v>
      </c>
      <c r="EE337" s="143">
        <f t="shared" si="238"/>
        <v>242.08991765125791</v>
      </c>
    </row>
    <row r="338" spans="1:135" ht="12" customHeight="1" x14ac:dyDescent="0.2">
      <c r="A338" s="200" t="s">
        <v>442</v>
      </c>
      <c r="B338" s="236">
        <f t="shared" si="239"/>
        <v>233.41192408837398</v>
      </c>
      <c r="C338" s="237">
        <f t="shared" si="240"/>
        <v>4.9670888273395066</v>
      </c>
      <c r="D338" s="236">
        <f t="shared" si="241"/>
        <v>2926.1249838598828</v>
      </c>
      <c r="E338" s="236">
        <f t="shared" si="242"/>
        <v>153.14869513815896</v>
      </c>
      <c r="F338" s="237">
        <f t="shared" si="243"/>
        <v>4.9976615055061702</v>
      </c>
      <c r="G338" s="238">
        <f t="shared" si="244"/>
        <v>2759.2886688171106</v>
      </c>
      <c r="H338" s="118">
        <v>0</v>
      </c>
      <c r="I338" s="239">
        <f t="shared" si="245"/>
        <v>239.16735719076459</v>
      </c>
      <c r="J338" s="154">
        <f t="shared" si="311"/>
        <v>0.26683870967741946</v>
      </c>
      <c r="K338" s="149">
        <f t="shared" si="183"/>
        <v>0.17152762374657241</v>
      </c>
      <c r="L338" s="240">
        <f t="shared" si="184"/>
        <v>239.16735719076459</v>
      </c>
      <c r="M338" s="154">
        <f t="shared" si="185"/>
        <v>0.69357302698456758</v>
      </c>
      <c r="N338" s="241">
        <f t="shared" si="186"/>
        <v>239.16735719076459</v>
      </c>
      <c r="O338" s="150">
        <f t="shared" si="187"/>
        <v>0.55614304837324224</v>
      </c>
      <c r="P338" s="150">
        <f t="shared" si="188"/>
        <v>3.0775422105120218</v>
      </c>
      <c r="Q338" s="152">
        <f t="shared" si="189"/>
        <v>2.7147716135810256E-5</v>
      </c>
      <c r="R338" s="152">
        <f t="shared" si="246"/>
        <v>596.50966386135167</v>
      </c>
      <c r="S338" s="153">
        <f t="shared" si="190"/>
        <v>0.1072908016036362</v>
      </c>
      <c r="T338" s="154">
        <f t="shared" si="191"/>
        <v>0.56338373825338073</v>
      </c>
      <c r="U338" s="155">
        <f t="shared" si="192"/>
        <v>0.68159938036975143</v>
      </c>
      <c r="V338" s="154">
        <f t="shared" si="193"/>
        <v>4.2175870407184388E-2</v>
      </c>
      <c r="W338" s="154">
        <f t="shared" si="247"/>
        <v>0.30521257862459833</v>
      </c>
      <c r="X338" s="154">
        <f t="shared" si="248"/>
        <v>0.20504862357162454</v>
      </c>
      <c r="Y338" s="154">
        <f t="shared" si="194"/>
        <v>5.8560000000000008</v>
      </c>
      <c r="Z338" s="154">
        <f t="shared" si="195"/>
        <v>32.554464224748642</v>
      </c>
      <c r="AA338" s="154">
        <f t="shared" si="196"/>
        <v>0.64943269687764016</v>
      </c>
      <c r="AB338" s="1"/>
      <c r="AC338" s="242">
        <f t="shared" si="197"/>
        <v>0.11882267745341364</v>
      </c>
      <c r="AD338" s="263">
        <f t="shared" si="198"/>
        <v>2.1691239755983212</v>
      </c>
      <c r="AE338" s="282">
        <f t="shared" si="199"/>
        <v>233.41192408837398</v>
      </c>
      <c r="AF338" s="243">
        <f t="shared" si="200"/>
        <v>0.34488279028755109</v>
      </c>
      <c r="AG338" s="243">
        <f t="shared" si="201"/>
        <v>21.481974875441576</v>
      </c>
      <c r="AH338" s="264">
        <f t="shared" si="202"/>
        <v>1.7505732141039088E-5</v>
      </c>
      <c r="AI338" s="264">
        <f t="shared" si="203"/>
        <v>12034.609947901607</v>
      </c>
      <c r="AJ338" s="245">
        <f t="shared" si="204"/>
        <v>4.4292164277589391E-2</v>
      </c>
      <c r="AK338" s="264">
        <f t="shared" si="205"/>
        <v>59.470572847146755</v>
      </c>
      <c r="AL338" s="246">
        <f t="shared" si="206"/>
        <v>0.98101787300053511</v>
      </c>
      <c r="AM338" s="263">
        <f t="shared" si="207"/>
        <v>3.7933047090906453E-2</v>
      </c>
      <c r="AN338" s="263">
        <f t="shared" si="249"/>
        <v>1.057433629518179</v>
      </c>
      <c r="AO338" s="263">
        <f t="shared" si="250"/>
        <v>1.0176665371786286</v>
      </c>
      <c r="AP338" s="235">
        <f t="shared" si="208"/>
        <v>42.692315814204868</v>
      </c>
      <c r="AQ338" s="235">
        <f t="shared" si="209"/>
        <v>358.19022078211179</v>
      </c>
      <c r="AR338" s="263">
        <f t="shared" si="210"/>
        <v>5.0876510485289197</v>
      </c>
      <c r="AT338" s="242">
        <f t="shared" si="211"/>
        <v>0.11661867654338703</v>
      </c>
      <c r="AU338" s="263">
        <f t="shared" si="212"/>
        <v>2.6746818996616692</v>
      </c>
      <c r="AV338" s="282">
        <f t="shared" si="213"/>
        <v>153.14869513815896</v>
      </c>
      <c r="AW338" s="243">
        <f t="shared" si="214"/>
        <v>0.27969439254761624</v>
      </c>
      <c r="AX338" s="243">
        <f t="shared" si="215"/>
        <v>17.42153590354626</v>
      </c>
      <c r="AY338" s="264">
        <f t="shared" si="216"/>
        <v>1.417547759968755E-5</v>
      </c>
      <c r="AZ338" s="264">
        <f t="shared" si="217"/>
        <v>14861.909003651033</v>
      </c>
      <c r="BA338" s="245">
        <f t="shared" si="218"/>
        <v>4.3470604180922412E-2</v>
      </c>
      <c r="BB338" s="264">
        <f t="shared" si="219"/>
        <v>47.335081815856078</v>
      </c>
      <c r="BC338" s="246">
        <f t="shared" si="220"/>
        <v>1.0599972442555803</v>
      </c>
      <c r="BD338" s="263">
        <f t="shared" si="221"/>
        <v>3.155035243856194E-2</v>
      </c>
      <c r="BE338" s="263">
        <f t="shared" si="251"/>
        <v>1.1899141410275402</v>
      </c>
      <c r="BF338" s="263">
        <f t="shared" si="252"/>
        <v>1.062812389390958</v>
      </c>
      <c r="BG338" s="235">
        <f t="shared" si="222"/>
        <v>54.446004813410312</v>
      </c>
      <c r="BH338" s="235">
        <f t="shared" si="223"/>
        <v>379.94130777995559</v>
      </c>
      <c r="BI338" s="263">
        <f t="shared" si="224"/>
        <v>5.3965984573375474</v>
      </c>
      <c r="BJ338" s="247">
        <f t="shared" si="312"/>
        <v>234.69407700282724</v>
      </c>
      <c r="BK338" s="248">
        <f t="shared" si="253"/>
        <v>3.5235983888528735E-2</v>
      </c>
      <c r="BL338" s="94">
        <f t="shared" si="254"/>
        <v>2.2151288039037162E-4</v>
      </c>
      <c r="BM338" s="249">
        <f t="shared" si="255"/>
        <v>7.9119455773122488E-2</v>
      </c>
      <c r="BN338" s="247">
        <f t="shared" si="256"/>
        <v>235.69407700282724</v>
      </c>
      <c r="BO338" s="248">
        <f t="shared" si="257"/>
        <v>2.7358993758658013E-2</v>
      </c>
      <c r="BP338" s="94">
        <f t="shared" si="258"/>
        <v>1.7249887160191373E-4</v>
      </c>
      <c r="BQ338" s="249">
        <f t="shared" si="259"/>
        <v>0.14082773945850541</v>
      </c>
      <c r="BR338" s="247">
        <f t="shared" si="260"/>
        <v>234.0670589005594</v>
      </c>
      <c r="BS338" s="248">
        <f t="shared" si="261"/>
        <v>4.0174999291342779E-2</v>
      </c>
      <c r="BT338" s="94">
        <f t="shared" si="262"/>
        <v>2.5209818024637368E-4</v>
      </c>
      <c r="BU338" s="249">
        <f t="shared" si="263"/>
        <v>4.0427244842508168E-2</v>
      </c>
      <c r="BV338" s="283">
        <f t="shared" si="264"/>
        <v>4.0427171157048664E-2</v>
      </c>
      <c r="BW338" s="282">
        <f t="shared" si="265"/>
        <v>2926.1790241230051</v>
      </c>
      <c r="BX338" s="265">
        <f t="shared" si="225"/>
        <v>233.43667733262657</v>
      </c>
      <c r="BY338" s="265">
        <f t="shared" si="226"/>
        <v>233.3812912121719</v>
      </c>
      <c r="BZ338" s="284">
        <f t="shared" si="313"/>
        <v>163.58193142552128</v>
      </c>
      <c r="CA338" s="248">
        <f t="shared" si="266"/>
        <v>0.59538565271489763</v>
      </c>
      <c r="CB338" s="94">
        <f t="shared" si="267"/>
        <v>3.0323634915038551E-3</v>
      </c>
      <c r="CC338" s="249">
        <f t="shared" si="268"/>
        <v>0.68291287280274171</v>
      </c>
      <c r="CD338" s="247">
        <f t="shared" si="269"/>
        <v>164.58193142552128</v>
      </c>
      <c r="CE338" s="248">
        <f t="shared" si="270"/>
        <v>0.58750866258502688</v>
      </c>
      <c r="CF338" s="94">
        <f t="shared" si="271"/>
        <v>3.0011803306005972E-3</v>
      </c>
      <c r="CG338" s="249">
        <f t="shared" si="272"/>
        <v>0.74836838957560992</v>
      </c>
      <c r="CH338" s="247">
        <f t="shared" si="273"/>
        <v>162.43020559871184</v>
      </c>
      <c r="CI338" s="248">
        <f t="shared" si="274"/>
        <v>0.60445778568499287</v>
      </c>
      <c r="CJ338" s="94">
        <f t="shared" si="275"/>
        <v>3.068013404322523E-3</v>
      </c>
      <c r="CK338" s="249">
        <f t="shared" si="276"/>
        <v>0.60752606362827088</v>
      </c>
      <c r="CL338" s="249">
        <f t="shared" si="277"/>
        <v>0.60752593135879307</v>
      </c>
      <c r="CM338" s="249">
        <f t="shared" si="278"/>
        <v>2758.4715399752185</v>
      </c>
      <c r="CN338" s="265">
        <f t="shared" si="227"/>
        <v>152.75908586096105</v>
      </c>
      <c r="CO338" s="265">
        <f t="shared" si="228"/>
        <v>153.17911028304735</v>
      </c>
      <c r="CP338" s="94">
        <f t="shared" si="279"/>
        <v>8.6385018984413524E-3</v>
      </c>
      <c r="CQ338" s="157">
        <f t="shared" si="229"/>
        <v>1.7092205508154144</v>
      </c>
      <c r="CR338" s="285">
        <f t="shared" si="230"/>
        <v>2.3658122874991756</v>
      </c>
      <c r="CS338" s="157">
        <f t="shared" si="231"/>
        <v>5.5255892255356098</v>
      </c>
      <c r="CT338" s="143">
        <f t="shared" si="232"/>
        <v>236.40456257799678</v>
      </c>
      <c r="CU338" s="247">
        <f t="shared" si="280"/>
        <v>234.0670589005594</v>
      </c>
      <c r="CV338" s="248">
        <f t="shared" si="281"/>
        <v>1.8412493395710775E-2</v>
      </c>
      <c r="CW338" s="94">
        <f t="shared" si="282"/>
        <v>1.1459914934036548E-4</v>
      </c>
      <c r="CX338" s="249">
        <f t="shared" si="283"/>
        <v>4.2317547057285139E-2</v>
      </c>
      <c r="CY338" s="247">
        <f t="shared" si="284"/>
        <v>235.0670589005594</v>
      </c>
      <c r="CZ338" s="248">
        <f t="shared" si="285"/>
        <v>1.0535503265840053E-2</v>
      </c>
      <c r="DA338" s="94">
        <f t="shared" si="286"/>
        <v>6.5766339523879572E-5</v>
      </c>
      <c r="DB338" s="249">
        <f t="shared" si="287"/>
        <v>0.10402583074266808</v>
      </c>
      <c r="DC338" s="247">
        <f t="shared" si="288"/>
        <v>233.72540944650194</v>
      </c>
      <c r="DD338" s="248">
        <f t="shared" si="289"/>
        <v>2.1103662773197113E-2</v>
      </c>
      <c r="DE338" s="94">
        <f t="shared" si="290"/>
        <v>1.3121677538244347E-4</v>
      </c>
      <c r="DF338" s="249">
        <f t="shared" si="291"/>
        <v>2.1234945625351172E-2</v>
      </c>
      <c r="DG338" s="283">
        <f t="shared" si="292"/>
        <v>2.1234912586965363E-2</v>
      </c>
      <c r="DH338" s="282">
        <f t="shared" si="293"/>
        <v>2915.3354077880331</v>
      </c>
      <c r="DI338" s="265">
        <f t="shared" si="233"/>
        <v>228.21447497156399</v>
      </c>
      <c r="DJ338" s="265">
        <f t="shared" si="234"/>
        <v>228.17292136253292</v>
      </c>
      <c r="DK338" s="284">
        <f t="shared" si="294"/>
        <v>162.43020559871184</v>
      </c>
      <c r="DL338" s="248">
        <f t="shared" si="295"/>
        <v>0.60445778568499287</v>
      </c>
      <c r="DM338" s="94">
        <f t="shared" si="296"/>
        <v>3.068013404322523E-3</v>
      </c>
      <c r="DN338" s="249">
        <f t="shared" si="297"/>
        <v>0.60752606362827088</v>
      </c>
      <c r="DO338" s="247">
        <f t="shared" si="298"/>
        <v>163.43020559871184</v>
      </c>
      <c r="DP338" s="248">
        <f t="shared" si="299"/>
        <v>0.596580795555122</v>
      </c>
      <c r="DQ338" s="94">
        <f t="shared" si="300"/>
        <v>3.0370761003076755E-3</v>
      </c>
      <c r="DR338" s="249">
        <f t="shared" si="301"/>
        <v>0.67298158040113909</v>
      </c>
      <c r="DS338" s="247">
        <f t="shared" si="302"/>
        <v>162.43020199284302</v>
      </c>
      <c r="DT338" s="248">
        <f t="shared" si="303"/>
        <v>0.60445781408838584</v>
      </c>
      <c r="DU338" s="94">
        <f t="shared" si="304"/>
        <v>3.0680135154948201E-3</v>
      </c>
      <c r="DV338" s="249">
        <f t="shared" si="305"/>
        <v>0.60752582760426432</v>
      </c>
      <c r="DW338" s="249">
        <f t="shared" si="306"/>
        <v>0.60752582760407248</v>
      </c>
      <c r="DX338" s="249">
        <f t="shared" si="307"/>
        <v>2758.4765700568569</v>
      </c>
      <c r="DY338" s="265">
        <f t="shared" si="235"/>
        <v>152.76150760008602</v>
      </c>
      <c r="DZ338" s="265">
        <f t="shared" si="236"/>
        <v>153.18153195384693</v>
      </c>
      <c r="EA338" s="94">
        <f t="shared" si="308"/>
        <v>8.2568045886462736E-3</v>
      </c>
      <c r="EB338" s="157">
        <f t="shared" si="237"/>
        <v>1.6488078344491399</v>
      </c>
      <c r="EC338" s="285">
        <f t="shared" si="309"/>
        <v>2.2858253792290157</v>
      </c>
      <c r="ED338" s="157">
        <f t="shared" si="310"/>
        <v>5.3387718686147458</v>
      </c>
      <c r="EE338" s="143">
        <f t="shared" si="238"/>
        <v>236.49797125645722</v>
      </c>
    </row>
    <row r="339" spans="1:135" ht="12" customHeight="1" x14ac:dyDescent="0.2">
      <c r="A339" s="200" t="s">
        <v>442</v>
      </c>
      <c r="B339" s="236">
        <f t="shared" si="239"/>
        <v>233.43667733262657</v>
      </c>
      <c r="C339" s="237">
        <f t="shared" si="240"/>
        <v>4.966494121611035</v>
      </c>
      <c r="D339" s="236">
        <f t="shared" si="241"/>
        <v>2926.1790241230051</v>
      </c>
      <c r="E339" s="236">
        <f t="shared" si="242"/>
        <v>152.75908586096105</v>
      </c>
      <c r="F339" s="237">
        <f t="shared" si="243"/>
        <v>4.9981348563243291</v>
      </c>
      <c r="G339" s="238">
        <f t="shared" si="244"/>
        <v>2758.4765700568569</v>
      </c>
      <c r="H339" s="118">
        <v>0</v>
      </c>
      <c r="I339" s="239">
        <f t="shared" si="245"/>
        <v>233.82858532214985</v>
      </c>
      <c r="J339" s="154">
        <f t="shared" si="311"/>
        <v>0.27896774193548396</v>
      </c>
      <c r="K339" s="149">
        <f t="shared" si="183"/>
        <v>0.17038114633362017</v>
      </c>
      <c r="L339" s="240">
        <f t="shared" si="184"/>
        <v>233.82858532214985</v>
      </c>
      <c r="M339" s="154">
        <f t="shared" si="185"/>
        <v>0.70333310293224105</v>
      </c>
      <c r="N339" s="241">
        <f t="shared" si="186"/>
        <v>233.82858532214985</v>
      </c>
      <c r="O339" s="150">
        <f t="shared" si="187"/>
        <v>0.54842551258932448</v>
      </c>
      <c r="P339" s="150">
        <f t="shared" si="188"/>
        <v>3.034835496464948</v>
      </c>
      <c r="Q339" s="152">
        <f t="shared" si="189"/>
        <v>2.6966262894150882E-5</v>
      </c>
      <c r="R339" s="152">
        <f t="shared" si="246"/>
        <v>600.5235167490747</v>
      </c>
      <c r="S339" s="153">
        <f t="shared" si="190"/>
        <v>0.10657367815745679</v>
      </c>
      <c r="T339" s="154">
        <f t="shared" si="191"/>
        <v>0.55185236574556351</v>
      </c>
      <c r="U339" s="155">
        <f t="shared" si="192"/>
        <v>0.68166112995840233</v>
      </c>
      <c r="V339" s="154">
        <f t="shared" si="193"/>
        <v>4.1908563438494723E-2</v>
      </c>
      <c r="W339" s="154">
        <f t="shared" si="247"/>
        <v>0.30072351071550096</v>
      </c>
      <c r="X339" s="154">
        <f t="shared" si="248"/>
        <v>0.20196401671535794</v>
      </c>
      <c r="Y339" s="154">
        <f t="shared" si="194"/>
        <v>5.8560000000000008</v>
      </c>
      <c r="Z339" s="154">
        <f t="shared" si="195"/>
        <v>32.34813688484504</v>
      </c>
      <c r="AA339" s="154">
        <f t="shared" si="196"/>
        <v>0.64531664938663835</v>
      </c>
      <c r="AB339" s="1"/>
      <c r="AC339" s="242">
        <f t="shared" si="197"/>
        <v>0.11882334285060336</v>
      </c>
      <c r="AD339" s="263">
        <f t="shared" si="198"/>
        <v>2.1687426387001389</v>
      </c>
      <c r="AE339" s="282">
        <f t="shared" si="199"/>
        <v>233.43667733262657</v>
      </c>
      <c r="AF339" s="243">
        <f t="shared" si="200"/>
        <v>0.34494343212265766</v>
      </c>
      <c r="AG339" s="243">
        <f t="shared" si="201"/>
        <v>21.485752119232355</v>
      </c>
      <c r="AH339" s="264">
        <f t="shared" si="202"/>
        <v>1.7506759706582055E-5</v>
      </c>
      <c r="AI339" s="264">
        <f t="shared" si="203"/>
        <v>12033.903572152309</v>
      </c>
      <c r="AJ339" s="245">
        <f t="shared" si="204"/>
        <v>4.4292412310054805E-2</v>
      </c>
      <c r="AK339" s="264">
        <f t="shared" si="205"/>
        <v>59.481362835490998</v>
      </c>
      <c r="AL339" s="246">
        <f t="shared" si="206"/>
        <v>0.98099434690076126</v>
      </c>
      <c r="AM339" s="263">
        <f t="shared" si="207"/>
        <v>3.7934995707952314E-2</v>
      </c>
      <c r="AN339" s="263">
        <f t="shared" si="249"/>
        <v>1.0556803564800197</v>
      </c>
      <c r="AO339" s="263">
        <f t="shared" si="250"/>
        <v>1.017108349640514</v>
      </c>
      <c r="AP339" s="235">
        <f t="shared" si="208"/>
        <v>42.66648631516302</v>
      </c>
      <c r="AQ339" s="235">
        <f t="shared" si="209"/>
        <v>357.99189932741649</v>
      </c>
      <c r="AR339" s="263">
        <f t="shared" si="210"/>
        <v>5.0848341364571068</v>
      </c>
      <c r="AT339" s="242">
        <f t="shared" si="211"/>
        <v>0.11660773673825463</v>
      </c>
      <c r="AU339" s="263">
        <f t="shared" si="212"/>
        <v>2.6749205621949121</v>
      </c>
      <c r="AV339" s="282">
        <f t="shared" si="213"/>
        <v>152.75908586096105</v>
      </c>
      <c r="AW339" s="243">
        <f t="shared" si="214"/>
        <v>0.27966943757392365</v>
      </c>
      <c r="AX339" s="243">
        <f t="shared" si="215"/>
        <v>17.419981514249436</v>
      </c>
      <c r="AY339" s="264">
        <f t="shared" si="216"/>
        <v>1.4159320165527394E-5</v>
      </c>
      <c r="AZ339" s="264">
        <f t="shared" si="217"/>
        <v>14878.868173541498</v>
      </c>
      <c r="BA339" s="245">
        <f t="shared" si="218"/>
        <v>4.3466526275454581E-2</v>
      </c>
      <c r="BB339" s="264">
        <f t="shared" si="219"/>
        <v>47.326418442008467</v>
      </c>
      <c r="BC339" s="246">
        <f t="shared" si="220"/>
        <v>1.0604764466858163</v>
      </c>
      <c r="BD339" s="263">
        <f t="shared" si="221"/>
        <v>3.1522389157857079E-2</v>
      </c>
      <c r="BE339" s="263">
        <f t="shared" si="251"/>
        <v>1.2322813915730675</v>
      </c>
      <c r="BF339" s="263">
        <f t="shared" si="252"/>
        <v>1.0798113101129798</v>
      </c>
      <c r="BG339" s="235">
        <f t="shared" si="222"/>
        <v>55.37733295157819</v>
      </c>
      <c r="BH339" s="235">
        <f t="shared" si="223"/>
        <v>386.09790317258035</v>
      </c>
      <c r="BI339" s="263">
        <f t="shared" si="224"/>
        <v>5.4840453143071839</v>
      </c>
      <c r="BJ339" s="247">
        <f t="shared" si="312"/>
        <v>234.0670589005594</v>
      </c>
      <c r="BK339" s="248">
        <f t="shared" si="253"/>
        <v>-1.8665485464684545E-3</v>
      </c>
      <c r="BL339" s="94">
        <f t="shared" si="254"/>
        <v>-1.1602753993349032E-5</v>
      </c>
      <c r="BM339" s="249">
        <f t="shared" si="255"/>
        <v>3.8878226744272382E-2</v>
      </c>
      <c r="BN339" s="247">
        <f t="shared" si="256"/>
        <v>235.0670589005594</v>
      </c>
      <c r="BO339" s="248">
        <f t="shared" si="257"/>
        <v>-9.6936150035450887E-3</v>
      </c>
      <c r="BP339" s="94">
        <f t="shared" si="258"/>
        <v>-6.0435563809834926E-5</v>
      </c>
      <c r="BQ339" s="249">
        <f t="shared" si="259"/>
        <v>0.10055234401226816</v>
      </c>
      <c r="BR339" s="247">
        <f t="shared" si="260"/>
        <v>233.48105791773736</v>
      </c>
      <c r="BS339" s="248">
        <f t="shared" si="261"/>
        <v>2.7201200899918971E-3</v>
      </c>
      <c r="BT339" s="94">
        <f t="shared" si="262"/>
        <v>1.6879386381462323E-5</v>
      </c>
      <c r="BU339" s="249">
        <f t="shared" si="263"/>
        <v>2.7371334105449328E-3</v>
      </c>
      <c r="BV339" s="283">
        <f t="shared" si="264"/>
        <v>2.7370664434591459E-3</v>
      </c>
      <c r="BW339" s="282">
        <f t="shared" si="265"/>
        <v>2926.1826828452595</v>
      </c>
      <c r="BX339" s="265">
        <f t="shared" si="225"/>
        <v>233.43716704496688</v>
      </c>
      <c r="BY339" s="265">
        <f t="shared" si="226"/>
        <v>233.40922912856939</v>
      </c>
      <c r="BZ339" s="284">
        <f t="shared" si="313"/>
        <v>162.43020559871184</v>
      </c>
      <c r="CA339" s="248">
        <f t="shared" si="266"/>
        <v>0.5588398630229422</v>
      </c>
      <c r="CB339" s="94">
        <f t="shared" si="267"/>
        <v>2.8043124700828002E-3</v>
      </c>
      <c r="CC339" s="249">
        <f t="shared" si="268"/>
        <v>0.64328577224517269</v>
      </c>
      <c r="CD339" s="247">
        <f t="shared" si="269"/>
        <v>163.43020559871184</v>
      </c>
      <c r="CE339" s="248">
        <f t="shared" si="270"/>
        <v>0.55101279656586555</v>
      </c>
      <c r="CF339" s="94">
        <f t="shared" si="271"/>
        <v>2.773375166067953E-3</v>
      </c>
      <c r="CG339" s="249">
        <f t="shared" si="272"/>
        <v>0.70980193476709197</v>
      </c>
      <c r="CH339" s="247">
        <f t="shared" si="273"/>
        <v>161.33249115252252</v>
      </c>
      <c r="CI339" s="248">
        <f t="shared" si="274"/>
        <v>0.56743174694415899</v>
      </c>
      <c r="CJ339" s="94">
        <f t="shared" si="275"/>
        <v>2.8380282665175427E-3</v>
      </c>
      <c r="CK339" s="249">
        <f t="shared" si="276"/>
        <v>0.57027001973978564</v>
      </c>
      <c r="CL339" s="249">
        <f t="shared" si="277"/>
        <v>0.57026989747523116</v>
      </c>
      <c r="CM339" s="249">
        <f t="shared" si="278"/>
        <v>2757.7092423810964</v>
      </c>
      <c r="CN339" s="265">
        <f t="shared" si="227"/>
        <v>152.39345664878121</v>
      </c>
      <c r="CO339" s="265">
        <f t="shared" si="228"/>
        <v>152.78628346591427</v>
      </c>
      <c r="CP339" s="94">
        <f t="shared" si="279"/>
        <v>7.9064681049918813E-3</v>
      </c>
      <c r="CQ339" s="157">
        <f t="shared" si="229"/>
        <v>1.5823871647592818</v>
      </c>
      <c r="CR339" s="285">
        <f t="shared" si="230"/>
        <v>2.1633007190475184</v>
      </c>
      <c r="CS339" s="157">
        <f t="shared" si="231"/>
        <v>5.0526033734477211</v>
      </c>
      <c r="CT339" s="143">
        <f t="shared" si="232"/>
        <v>231.30228363542599</v>
      </c>
      <c r="CU339" s="247">
        <f t="shared" si="280"/>
        <v>233.48105791773736</v>
      </c>
      <c r="CV339" s="248">
        <f t="shared" si="281"/>
        <v>-1.705341110262051E-2</v>
      </c>
      <c r="CW339" s="94">
        <f t="shared" si="282"/>
        <v>-1.0503390336477289E-4</v>
      </c>
      <c r="CX339" s="249">
        <f t="shared" si="283"/>
        <v>4.4299771663633136E-3</v>
      </c>
      <c r="CY339" s="247">
        <f t="shared" si="284"/>
        <v>234.48105791773736</v>
      </c>
      <c r="CZ339" s="248">
        <f t="shared" si="285"/>
        <v>-2.4880477559697144E-2</v>
      </c>
      <c r="DA339" s="94">
        <f t="shared" si="286"/>
        <v>-1.5369777177626172E-4</v>
      </c>
      <c r="DB339" s="249">
        <f t="shared" si="287"/>
        <v>6.6104094434359092E-2</v>
      </c>
      <c r="DC339" s="247">
        <f t="shared" si="288"/>
        <v>233.17065576849711</v>
      </c>
      <c r="DD339" s="248">
        <f t="shared" si="289"/>
        <v>-1.4623872852097682E-2</v>
      </c>
      <c r="DE339" s="94">
        <f t="shared" si="290"/>
        <v>-8.9987036226286271E-5</v>
      </c>
      <c r="DF339" s="249">
        <f t="shared" si="291"/>
        <v>-1.471380138611759E-2</v>
      </c>
      <c r="DG339" s="283">
        <f t="shared" si="292"/>
        <v>-1.4713830637220779E-2</v>
      </c>
      <c r="DH339" s="282">
        <f t="shared" si="293"/>
        <v>2915.3157393507813</v>
      </c>
      <c r="DI339" s="265">
        <f t="shared" si="233"/>
        <v>228.2037006750067</v>
      </c>
      <c r="DJ339" s="265">
        <f t="shared" si="234"/>
        <v>228.18831101876981</v>
      </c>
      <c r="DK339" s="284">
        <f t="shared" si="294"/>
        <v>161.33249115252252</v>
      </c>
      <c r="DL339" s="248">
        <f t="shared" si="295"/>
        <v>0.56743174694415899</v>
      </c>
      <c r="DM339" s="94">
        <f t="shared" si="296"/>
        <v>2.8380282665175427E-3</v>
      </c>
      <c r="DN339" s="249">
        <f t="shared" si="297"/>
        <v>0.57027001973978564</v>
      </c>
      <c r="DO339" s="247">
        <f t="shared" si="298"/>
        <v>162.33249115252252</v>
      </c>
      <c r="DP339" s="248">
        <f t="shared" si="299"/>
        <v>0.55960468048708234</v>
      </c>
      <c r="DQ339" s="94">
        <f t="shared" si="300"/>
        <v>2.8073240836663268E-3</v>
      </c>
      <c r="DR339" s="249">
        <f t="shared" si="301"/>
        <v>0.63678618226170491</v>
      </c>
      <c r="DS339" s="247">
        <f t="shared" si="302"/>
        <v>161.33248786468903</v>
      </c>
      <c r="DT339" s="248">
        <f t="shared" si="303"/>
        <v>0.56743177267825029</v>
      </c>
      <c r="DU339" s="94">
        <f t="shared" si="304"/>
        <v>2.8380283671198092E-3</v>
      </c>
      <c r="DV339" s="249">
        <f t="shared" si="305"/>
        <v>0.57026980104571867</v>
      </c>
      <c r="DW339" s="249">
        <f t="shared" si="306"/>
        <v>0.57026980104554437</v>
      </c>
      <c r="DX339" s="249">
        <f t="shared" si="307"/>
        <v>2757.7142725916356</v>
      </c>
      <c r="DY339" s="265">
        <f t="shared" si="235"/>
        <v>152.39587843898258</v>
      </c>
      <c r="DZ339" s="265">
        <f t="shared" si="236"/>
        <v>152.78870519641475</v>
      </c>
      <c r="EA339" s="94">
        <f t="shared" si="308"/>
        <v>7.5680368126563331E-3</v>
      </c>
      <c r="EB339" s="157">
        <f t="shared" si="237"/>
        <v>1.5274958421685898</v>
      </c>
      <c r="EC339" s="285">
        <f t="shared" si="309"/>
        <v>2.0906198493897441</v>
      </c>
      <c r="ED339" s="157">
        <f t="shared" si="310"/>
        <v>4.8828499942782866</v>
      </c>
      <c r="EE339" s="143">
        <f t="shared" si="238"/>
        <v>231.38716032501071</v>
      </c>
    </row>
    <row r="340" spans="1:135" ht="12" customHeight="1" x14ac:dyDescent="0.2">
      <c r="A340" s="200" t="s">
        <v>442</v>
      </c>
      <c r="B340" s="236">
        <f t="shared" si="239"/>
        <v>233.43716704496688</v>
      </c>
      <c r="C340" s="237">
        <f t="shared" si="240"/>
        <v>4.9658993079826796</v>
      </c>
      <c r="D340" s="236">
        <f t="shared" si="241"/>
        <v>2926.1826828452595</v>
      </c>
      <c r="E340" s="236">
        <f t="shared" si="242"/>
        <v>152.39345664878121</v>
      </c>
      <c r="F340" s="237">
        <f t="shared" si="243"/>
        <v>4.9986081205087496</v>
      </c>
      <c r="G340" s="238">
        <f t="shared" si="244"/>
        <v>2757.7142725916356</v>
      </c>
      <c r="H340" s="118">
        <v>0</v>
      </c>
      <c r="I340" s="239">
        <f t="shared" si="245"/>
        <v>228.94573532787157</v>
      </c>
      <c r="J340" s="154">
        <f t="shared" si="311"/>
        <v>0.29109677419354846</v>
      </c>
      <c r="K340" s="149">
        <f t="shared" si="183"/>
        <v>0.16932979647851876</v>
      </c>
      <c r="L340" s="240">
        <f t="shared" si="184"/>
        <v>228.94573532787157</v>
      </c>
      <c r="M340" s="154">
        <f t="shared" si="185"/>
        <v>0.71258097088263095</v>
      </c>
      <c r="N340" s="241">
        <f t="shared" si="186"/>
        <v>228.94573532787157</v>
      </c>
      <c r="O340" s="150">
        <f t="shared" si="187"/>
        <v>0.54130805235912927</v>
      </c>
      <c r="P340" s="150">
        <f t="shared" si="188"/>
        <v>2.9954494349936454</v>
      </c>
      <c r="Q340" s="152">
        <f t="shared" si="189"/>
        <v>2.6799865512771142E-5</v>
      </c>
      <c r="R340" s="152">
        <f t="shared" si="246"/>
        <v>604.25210040918216</v>
      </c>
      <c r="S340" s="153">
        <f t="shared" si="190"/>
        <v>0.10591605715008857</v>
      </c>
      <c r="T340" s="154">
        <f t="shared" si="191"/>
        <v>0.54132937801037484</v>
      </c>
      <c r="U340" s="155">
        <f t="shared" si="192"/>
        <v>0.68172582792723158</v>
      </c>
      <c r="V340" s="154">
        <f t="shared" si="193"/>
        <v>4.1664084022131204E-2</v>
      </c>
      <c r="W340" s="154">
        <f t="shared" si="247"/>
        <v>0.29648740825734626</v>
      </c>
      <c r="X340" s="154">
        <f t="shared" si="248"/>
        <v>0.19905705171978816</v>
      </c>
      <c r="Y340" s="154">
        <f t="shared" si="194"/>
        <v>5.8560000000000008</v>
      </c>
      <c r="Z340" s="154">
        <f t="shared" si="195"/>
        <v>32.159429542545872</v>
      </c>
      <c r="AA340" s="154">
        <f t="shared" si="196"/>
        <v>0.64155210522507922</v>
      </c>
      <c r="AB340" s="1"/>
      <c r="AC340" s="242">
        <f t="shared" si="197"/>
        <v>0.11882335601458048</v>
      </c>
      <c r="AD340" s="263">
        <f t="shared" si="198"/>
        <v>2.1684746860233677</v>
      </c>
      <c r="AE340" s="282">
        <f t="shared" si="199"/>
        <v>233.43716704496688</v>
      </c>
      <c r="AF340" s="243">
        <f t="shared" si="200"/>
        <v>0.34498605586946351</v>
      </c>
      <c r="AG340" s="243">
        <f t="shared" si="201"/>
        <v>21.488407056746684</v>
      </c>
      <c r="AH340" s="264">
        <f t="shared" si="202"/>
        <v>1.7506780035699347E-5</v>
      </c>
      <c r="AI340" s="264">
        <f t="shared" si="203"/>
        <v>12033.889598215543</v>
      </c>
      <c r="AJ340" s="245">
        <f t="shared" si="204"/>
        <v>4.4292417217039318E-2</v>
      </c>
      <c r="AK340" s="264">
        <f t="shared" si="205"/>
        <v>59.488719380566828</v>
      </c>
      <c r="AL340" s="246">
        <f t="shared" si="206"/>
        <v>0.9809891627286037</v>
      </c>
      <c r="AM340" s="263">
        <f t="shared" si="207"/>
        <v>3.7934836712430045E-2</v>
      </c>
      <c r="AN340" s="263">
        <f t="shared" si="249"/>
        <v>1.0540516393910011</v>
      </c>
      <c r="AO340" s="263">
        <f t="shared" si="250"/>
        <v>1.0165911463435771</v>
      </c>
      <c r="AP340" s="235">
        <f t="shared" si="208"/>
        <v>42.644660491341476</v>
      </c>
      <c r="AQ340" s="235">
        <f t="shared" si="209"/>
        <v>357.80727072371405</v>
      </c>
      <c r="AR340" s="263">
        <f t="shared" si="210"/>
        <v>5.082211714473714</v>
      </c>
      <c r="AT340" s="242">
        <f t="shared" si="211"/>
        <v>0.11659746800242744</v>
      </c>
      <c r="AU340" s="263">
        <f t="shared" si="212"/>
        <v>2.6751591797392664</v>
      </c>
      <c r="AV340" s="282">
        <f t="shared" si="213"/>
        <v>152.39345664878121</v>
      </c>
      <c r="AW340" s="243">
        <f t="shared" si="214"/>
        <v>0.27964449175577188</v>
      </c>
      <c r="AX340" s="243">
        <f t="shared" si="215"/>
        <v>17.418427695230701</v>
      </c>
      <c r="AY340" s="264">
        <f t="shared" si="216"/>
        <v>1.4144157276623259E-5</v>
      </c>
      <c r="AZ340" s="264">
        <f t="shared" si="217"/>
        <v>14894.818690827358</v>
      </c>
      <c r="BA340" s="245">
        <f t="shared" si="218"/>
        <v>4.3462698516781501E-2</v>
      </c>
      <c r="BB340" s="264">
        <f t="shared" si="219"/>
        <v>47.318029745619008</v>
      </c>
      <c r="BC340" s="246">
        <f t="shared" si="220"/>
        <v>1.0609276394854925</v>
      </c>
      <c r="BD340" s="263">
        <f t="shared" si="221"/>
        <v>3.1496189844835244E-2</v>
      </c>
      <c r="BE340" s="263">
        <f t="shared" si="251"/>
        <v>1.3085164323031113</v>
      </c>
      <c r="BF340" s="263">
        <f t="shared" si="252"/>
        <v>1.1158464416992664</v>
      </c>
      <c r="BG340" s="235">
        <f t="shared" si="222"/>
        <v>57.284186668966207</v>
      </c>
      <c r="BH340" s="235">
        <f t="shared" si="223"/>
        <v>399.06078440076533</v>
      </c>
      <c r="BI340" s="263">
        <f t="shared" si="224"/>
        <v>5.6681670810280265</v>
      </c>
      <c r="BJ340" s="247">
        <f t="shared" si="312"/>
        <v>233.48105791773736</v>
      </c>
      <c r="BK340" s="248">
        <f t="shared" si="253"/>
        <v>-3.5291187226826504E-2</v>
      </c>
      <c r="BL340" s="94">
        <f t="shared" si="254"/>
        <v>-2.1711564316363258E-4</v>
      </c>
      <c r="BM340" s="249">
        <f t="shared" si="255"/>
        <v>2.7055347779023379E-3</v>
      </c>
      <c r="BN340" s="247">
        <f t="shared" si="256"/>
        <v>234.48105791773736</v>
      </c>
      <c r="BO340" s="248">
        <f t="shared" si="257"/>
        <v>-4.3072593406330677E-2</v>
      </c>
      <c r="BP340" s="94">
        <f t="shared" si="258"/>
        <v>-2.6577951157512146E-4</v>
      </c>
      <c r="BQ340" s="249">
        <f t="shared" si="259"/>
        <v>6.4347844605067289E-2</v>
      </c>
      <c r="BR340" s="247">
        <f t="shared" si="260"/>
        <v>232.93099992754608</v>
      </c>
      <c r="BS340" s="248">
        <f t="shared" si="261"/>
        <v>-3.1010962582866453E-2</v>
      </c>
      <c r="BT340" s="94">
        <f t="shared" si="262"/>
        <v>-1.9047028560055906E-4</v>
      </c>
      <c r="BU340" s="249">
        <f t="shared" si="263"/>
        <v>-3.1201310276376033E-2</v>
      </c>
      <c r="BV340" s="283">
        <f t="shared" si="264"/>
        <v>-3.1201371572421522E-2</v>
      </c>
      <c r="BW340" s="282">
        <f t="shared" si="265"/>
        <v>2926.1409749967684</v>
      </c>
      <c r="BX340" s="265">
        <f t="shared" si="225"/>
        <v>233.41580809086602</v>
      </c>
      <c r="BY340" s="265">
        <f t="shared" si="226"/>
        <v>233.41251860971772</v>
      </c>
      <c r="BZ340" s="284">
        <f t="shared" si="313"/>
        <v>161.33249115252252</v>
      </c>
      <c r="CA340" s="248">
        <f t="shared" si="266"/>
        <v>0.52612611604238579</v>
      </c>
      <c r="CB340" s="94">
        <f t="shared" si="267"/>
        <v>2.6040332369724473E-3</v>
      </c>
      <c r="CC340" s="249">
        <f t="shared" si="268"/>
        <v>0.61455309217630083</v>
      </c>
      <c r="CD340" s="247">
        <f t="shared" si="269"/>
        <v>162.33249115252252</v>
      </c>
      <c r="CE340" s="248">
        <f t="shared" si="270"/>
        <v>0.51834470986288161</v>
      </c>
      <c r="CF340" s="94">
        <f t="shared" si="271"/>
        <v>2.5733290541212319E-3</v>
      </c>
      <c r="CG340" s="249">
        <f t="shared" si="272"/>
        <v>0.68330247354618912</v>
      </c>
      <c r="CH340" s="247">
        <f t="shared" si="273"/>
        <v>160.21152366671271</v>
      </c>
      <c r="CI340" s="248">
        <f t="shared" si="274"/>
        <v>0.53484881936348949</v>
      </c>
      <c r="CJ340" s="94">
        <f t="shared" si="275"/>
        <v>2.6382004310478982E-3</v>
      </c>
      <c r="CK340" s="249">
        <f t="shared" si="276"/>
        <v>0.53748727099111715</v>
      </c>
      <c r="CL340" s="249">
        <f t="shared" si="277"/>
        <v>0.53748714539282727</v>
      </c>
      <c r="CM340" s="249">
        <f t="shared" si="278"/>
        <v>2756.9907665162145</v>
      </c>
      <c r="CN340" s="265">
        <f t="shared" si="227"/>
        <v>152.04892833531551</v>
      </c>
      <c r="CO340" s="265">
        <f t="shared" si="228"/>
        <v>152.41760590061489</v>
      </c>
      <c r="CP340" s="94">
        <f t="shared" si="279"/>
        <v>7.2568979029746976E-3</v>
      </c>
      <c r="CQ340" s="157">
        <f t="shared" si="229"/>
        <v>1.4676807508063019</v>
      </c>
      <c r="CR340" s="285">
        <f t="shared" si="230"/>
        <v>1.9812235481279723</v>
      </c>
      <c r="CS340" s="157">
        <f t="shared" si="231"/>
        <v>4.6273440833657729</v>
      </c>
      <c r="CT340" s="143">
        <f t="shared" si="232"/>
        <v>226.6320632861887</v>
      </c>
      <c r="CU340" s="247">
        <f t="shared" si="280"/>
        <v>232.93099992754608</v>
      </c>
      <c r="CV340" s="248">
        <f t="shared" si="281"/>
        <v>-4.901458450536364E-2</v>
      </c>
      <c r="CW340" s="94">
        <f t="shared" si="282"/>
        <v>-2.9898764155568939E-4</v>
      </c>
      <c r="CX340" s="249">
        <f t="shared" si="283"/>
        <v>-2.9681923793992371E-2</v>
      </c>
      <c r="CY340" s="247">
        <f t="shared" si="284"/>
        <v>233.93099992754608</v>
      </c>
      <c r="CZ340" s="248">
        <f t="shared" si="285"/>
        <v>-5.6795990684867813E-2</v>
      </c>
      <c r="DA340" s="94">
        <f t="shared" si="286"/>
        <v>-3.4749328570975955E-4</v>
      </c>
      <c r="DB340" s="249">
        <f t="shared" si="287"/>
        <v>3.1960386033172583E-2</v>
      </c>
      <c r="DC340" s="247">
        <f t="shared" si="288"/>
        <v>232.64841722202101</v>
      </c>
      <c r="DD340" s="248">
        <f t="shared" si="289"/>
        <v>-4.6815693694369831E-2</v>
      </c>
      <c r="DE340" s="94">
        <f t="shared" si="290"/>
        <v>-2.8533280252829589E-4</v>
      </c>
      <c r="DF340" s="249">
        <f t="shared" si="291"/>
        <v>-4.7100974479767424E-2</v>
      </c>
      <c r="DG340" s="283">
        <f t="shared" si="292"/>
        <v>-4.7101000488332774E-2</v>
      </c>
      <c r="DH340" s="282">
        <f t="shared" si="293"/>
        <v>2915.2527779714205</v>
      </c>
      <c r="DI340" s="265">
        <f t="shared" si="233"/>
        <v>228.17207623319845</v>
      </c>
      <c r="DJ340" s="265">
        <f t="shared" si="234"/>
        <v>228.18019362598415</v>
      </c>
      <c r="DK340" s="284">
        <f t="shared" si="294"/>
        <v>160.21152366671271</v>
      </c>
      <c r="DL340" s="248">
        <f t="shared" si="295"/>
        <v>0.53484881936348949</v>
      </c>
      <c r="DM340" s="94">
        <f t="shared" si="296"/>
        <v>2.6382004310478982E-3</v>
      </c>
      <c r="DN340" s="249">
        <f t="shared" si="297"/>
        <v>0.53748727099111715</v>
      </c>
      <c r="DO340" s="247">
        <f t="shared" si="298"/>
        <v>161.21152366671271</v>
      </c>
      <c r="DP340" s="248">
        <f t="shared" si="299"/>
        <v>0.52706741318398542</v>
      </c>
      <c r="DQ340" s="94">
        <f t="shared" si="300"/>
        <v>2.607733096011834E-3</v>
      </c>
      <c r="DR340" s="249">
        <f t="shared" si="301"/>
        <v>0.60623665236100543</v>
      </c>
      <c r="DS340" s="247">
        <f t="shared" si="302"/>
        <v>160.21152038572444</v>
      </c>
      <c r="DT340" s="248">
        <f t="shared" si="303"/>
        <v>0.53484884489419193</v>
      </c>
      <c r="DU340" s="94">
        <f t="shared" si="304"/>
        <v>2.6382005306654073E-3</v>
      </c>
      <c r="DV340" s="249">
        <f t="shared" si="305"/>
        <v>0.53748704542520354</v>
      </c>
      <c r="DW340" s="249">
        <f t="shared" si="306"/>
        <v>0.53748704542503045</v>
      </c>
      <c r="DX340" s="249">
        <f t="shared" si="307"/>
        <v>2756.995796860384</v>
      </c>
      <c r="DY340" s="265">
        <f t="shared" si="235"/>
        <v>152.05135017887173</v>
      </c>
      <c r="DZ340" s="265">
        <f t="shared" si="236"/>
        <v>152.42002768764326</v>
      </c>
      <c r="EA340" s="94">
        <f t="shared" si="308"/>
        <v>6.9556537228432566E-3</v>
      </c>
      <c r="EB340" s="157">
        <f t="shared" si="237"/>
        <v>1.4177026963494497</v>
      </c>
      <c r="EC340" s="285">
        <f t="shared" si="309"/>
        <v>1.9150443950091638</v>
      </c>
      <c r="ED340" s="157">
        <f t="shared" si="310"/>
        <v>4.472776107977114</v>
      </c>
      <c r="EE340" s="143">
        <f t="shared" si="238"/>
        <v>226.70934727388303</v>
      </c>
    </row>
    <row r="341" spans="1:135" ht="12" customHeight="1" x14ac:dyDescent="0.2">
      <c r="A341" s="200" t="s">
        <v>442</v>
      </c>
      <c r="B341" s="236">
        <f t="shared" si="239"/>
        <v>233.41580809086602</v>
      </c>
      <c r="C341" s="237">
        <f t="shared" si="240"/>
        <v>4.9653044207888737</v>
      </c>
      <c r="D341" s="236">
        <f t="shared" si="241"/>
        <v>2926.1409749967684</v>
      </c>
      <c r="E341" s="236">
        <f t="shared" si="242"/>
        <v>152.04892833531551</v>
      </c>
      <c r="F341" s="237">
        <f t="shared" si="243"/>
        <v>4.9990813008062061</v>
      </c>
      <c r="G341" s="238">
        <f t="shared" si="244"/>
        <v>2756.995796860384</v>
      </c>
      <c r="H341" s="118">
        <v>0</v>
      </c>
      <c r="I341" s="239">
        <f t="shared" si="245"/>
        <v>224.47295921989445</v>
      </c>
      <c r="J341" s="154">
        <f t="shared" si="311"/>
        <v>0.30322580645161296</v>
      </c>
      <c r="K341" s="149">
        <f t="shared" si="183"/>
        <v>0.16836441112884293</v>
      </c>
      <c r="L341" s="240">
        <f t="shared" si="184"/>
        <v>224.47295921989445</v>
      </c>
      <c r="M341" s="154">
        <f t="shared" si="185"/>
        <v>0.72133688207139768</v>
      </c>
      <c r="N341" s="241">
        <f t="shared" si="186"/>
        <v>224.47295921989445</v>
      </c>
      <c r="O341" s="150">
        <f t="shared" si="187"/>
        <v>0.53473741199673663</v>
      </c>
      <c r="P341" s="150">
        <f t="shared" si="188"/>
        <v>2.9590893238234948</v>
      </c>
      <c r="Q341" s="152">
        <f t="shared" si="189"/>
        <v>2.664707375327361E-5</v>
      </c>
      <c r="R341" s="152">
        <f t="shared" si="246"/>
        <v>607.7168238702435</v>
      </c>
      <c r="S341" s="153">
        <f t="shared" si="190"/>
        <v>0.1053122070776585</v>
      </c>
      <c r="T341" s="154">
        <f t="shared" si="191"/>
        <v>0.53170970644058801</v>
      </c>
      <c r="U341" s="155">
        <f t="shared" si="192"/>
        <v>0.68179205960931177</v>
      </c>
      <c r="V341" s="154">
        <f t="shared" si="193"/>
        <v>4.1440136595180893E-2</v>
      </c>
      <c r="W341" s="154">
        <f t="shared" si="247"/>
        <v>0.29248033443236288</v>
      </c>
      <c r="X341" s="154">
        <f t="shared" si="248"/>
        <v>0.19631056263276181</v>
      </c>
      <c r="Y341" s="154">
        <f t="shared" si="194"/>
        <v>5.8560000000000008</v>
      </c>
      <c r="Z341" s="154">
        <f t="shared" si="195"/>
        <v>31.98657031217332</v>
      </c>
      <c r="AA341" s="154">
        <f t="shared" si="196"/>
        <v>0.63810371684473244</v>
      </c>
      <c r="AB341" s="1"/>
      <c r="AC341" s="242">
        <f t="shared" si="197"/>
        <v>0.11882278186065467</v>
      </c>
      <c r="AD341" s="263">
        <f t="shared" si="198"/>
        <v>2.168308801584014</v>
      </c>
      <c r="AE341" s="282">
        <f t="shared" si="199"/>
        <v>233.41580809086602</v>
      </c>
      <c r="AF341" s="243">
        <f t="shared" si="200"/>
        <v>0.34501244870540138</v>
      </c>
      <c r="AG341" s="243">
        <f t="shared" si="201"/>
        <v>21.490051007255307</v>
      </c>
      <c r="AH341" s="264">
        <f t="shared" si="202"/>
        <v>1.7505893375121042E-5</v>
      </c>
      <c r="AI341" s="264">
        <f t="shared" si="203"/>
        <v>12034.499105841447</v>
      </c>
      <c r="AJ341" s="245">
        <f t="shared" si="204"/>
        <v>4.4292203196277052E-2</v>
      </c>
      <c r="AK341" s="264">
        <f t="shared" si="205"/>
        <v>59.49298303825455</v>
      </c>
      <c r="AL341" s="246">
        <f t="shared" si="206"/>
        <v>0.98100048970869269</v>
      </c>
      <c r="AM341" s="263">
        <f t="shared" si="207"/>
        <v>3.7932779764164586E-2</v>
      </c>
      <c r="AN341" s="263">
        <f t="shared" si="249"/>
        <v>1.0525339876358435</v>
      </c>
      <c r="AO341" s="263">
        <f t="shared" si="250"/>
        <v>1.0161103455120581</v>
      </c>
      <c r="AP341" s="235">
        <f t="shared" si="208"/>
        <v>42.626415512373576</v>
      </c>
      <c r="AQ341" s="235">
        <f t="shared" si="209"/>
        <v>357.63479425078208</v>
      </c>
      <c r="AR341" s="263">
        <f t="shared" si="210"/>
        <v>5.0797618985450628</v>
      </c>
      <c r="AT341" s="242">
        <f t="shared" si="211"/>
        <v>0.11658778987892653</v>
      </c>
      <c r="AU341" s="263">
        <f t="shared" si="212"/>
        <v>2.6753977536804814</v>
      </c>
      <c r="AV341" s="282">
        <f t="shared" si="213"/>
        <v>152.04892833531551</v>
      </c>
      <c r="AW341" s="243">
        <f t="shared" si="214"/>
        <v>0.27961955494462098</v>
      </c>
      <c r="AX341" s="243">
        <f t="shared" si="215"/>
        <v>17.41687443723783</v>
      </c>
      <c r="AY341" s="264">
        <f t="shared" si="216"/>
        <v>1.4129869519233667E-5</v>
      </c>
      <c r="AZ341" s="264">
        <f t="shared" si="217"/>
        <v>14909.879944968938</v>
      </c>
      <c r="BA341" s="245">
        <f t="shared" si="218"/>
        <v>4.3459090913879526E-2</v>
      </c>
      <c r="BB341" s="264">
        <f t="shared" si="219"/>
        <v>47.309882979817921</v>
      </c>
      <c r="BC341" s="246">
        <f t="shared" si="220"/>
        <v>1.0613541489869989</v>
      </c>
      <c r="BD341" s="263">
        <f t="shared" si="221"/>
        <v>3.1471541481903148E-2</v>
      </c>
      <c r="BE341" s="263">
        <f t="shared" si="251"/>
        <v>1.5011864229069567</v>
      </c>
      <c r="BF341" s="263">
        <f t="shared" si="252"/>
        <v>1.5011864229069565</v>
      </c>
      <c r="BG341" s="235">
        <f t="shared" si="222"/>
        <v>77.141114649086717</v>
      </c>
      <c r="BH341" s="235">
        <f t="shared" si="223"/>
        <v>536.97022685105264</v>
      </c>
      <c r="BI341" s="263">
        <f t="shared" si="224"/>
        <v>7.6270009038839826</v>
      </c>
      <c r="BJ341" s="247">
        <f t="shared" si="312"/>
        <v>232.93099992754608</v>
      </c>
      <c r="BK341" s="248">
        <f t="shared" si="253"/>
        <v>-6.5461687483999442E-2</v>
      </c>
      <c r="BL341" s="94">
        <f t="shared" si="254"/>
        <v>-3.9890463167645458E-4</v>
      </c>
      <c r="BM341" s="249">
        <f t="shared" si="255"/>
        <v>-2.9870289470555676E-2</v>
      </c>
      <c r="BN341" s="247">
        <f t="shared" si="256"/>
        <v>233.93099992754608</v>
      </c>
      <c r="BO341" s="248">
        <f t="shared" si="257"/>
        <v>-7.3201268049600074E-2</v>
      </c>
      <c r="BP341" s="94">
        <f t="shared" si="258"/>
        <v>-4.4741027583052468E-4</v>
      </c>
      <c r="BQ341" s="249">
        <f t="shared" si="259"/>
        <v>3.1742306460184347E-2</v>
      </c>
      <c r="BR341" s="247">
        <f t="shared" si="260"/>
        <v>232.41241276766397</v>
      </c>
      <c r="BS341" s="248">
        <f t="shared" si="261"/>
        <v>-6.14480403798058E-2</v>
      </c>
      <c r="BT341" s="94">
        <f t="shared" si="262"/>
        <v>-3.7386321794237985E-4</v>
      </c>
      <c r="BU341" s="249">
        <f t="shared" si="263"/>
        <v>-6.1821790607242598E-2</v>
      </c>
      <c r="BV341" s="283">
        <f t="shared" si="264"/>
        <v>-6.1821847102495386E-2</v>
      </c>
      <c r="BW341" s="282">
        <f t="shared" si="265"/>
        <v>2926.0583358016802</v>
      </c>
      <c r="BX341" s="265">
        <f t="shared" si="225"/>
        <v>233.37473617650409</v>
      </c>
      <c r="BY341" s="265">
        <f t="shared" si="226"/>
        <v>233.3936273931109</v>
      </c>
      <c r="BZ341" s="284">
        <f t="shared" si="313"/>
        <v>160.21152366671271</v>
      </c>
      <c r="CA341" s="248">
        <f t="shared" si="266"/>
        <v>0.49735655772500181</v>
      </c>
      <c r="CB341" s="94">
        <f t="shared" si="267"/>
        <v>2.4297660849720028E-3</v>
      </c>
      <c r="CC341" s="249">
        <f t="shared" si="268"/>
        <v>0.75510651164347342</v>
      </c>
      <c r="CD341" s="247">
        <f t="shared" si="269"/>
        <v>161.21152366671271</v>
      </c>
      <c r="CE341" s="248">
        <f t="shared" si="270"/>
        <v>0.48961697715940117</v>
      </c>
      <c r="CF341" s="94">
        <f t="shared" si="271"/>
        <v>2.3992987499359378E-3</v>
      </c>
      <c r="CG341" s="249">
        <f t="shared" si="272"/>
        <v>0.84761465163896932</v>
      </c>
      <c r="CH341" s="247">
        <f t="shared" si="273"/>
        <v>157.66540478293354</v>
      </c>
      <c r="CI341" s="248">
        <f t="shared" si="274"/>
        <v>0.51706244995560779</v>
      </c>
      <c r="CJ341" s="94">
        <f t="shared" si="275"/>
        <v>2.5063926039455339E-3</v>
      </c>
      <c r="CK341" s="249">
        <f t="shared" si="276"/>
        <v>0.51956978949765398</v>
      </c>
      <c r="CL341" s="249">
        <f t="shared" si="277"/>
        <v>0.51956931602860368</v>
      </c>
      <c r="CM341" s="249">
        <f t="shared" si="278"/>
        <v>2756.2962419738151</v>
      </c>
      <c r="CN341" s="265">
        <f t="shared" si="227"/>
        <v>151.71593413853378</v>
      </c>
      <c r="CO341" s="265">
        <f t="shared" si="228"/>
        <v>152.06677001957434</v>
      </c>
      <c r="CP341" s="94">
        <f t="shared" si="279"/>
        <v>6.6782841582680129E-3</v>
      </c>
      <c r="CQ341" s="157">
        <f t="shared" si="229"/>
        <v>1.3636939289142631</v>
      </c>
      <c r="CR341" s="285">
        <f t="shared" si="230"/>
        <v>1.8281201554676896</v>
      </c>
      <c r="CS341" s="157">
        <f t="shared" si="231"/>
        <v>4.2697559258662308</v>
      </c>
      <c r="CT341" s="143">
        <f t="shared" si="232"/>
        <v>222.33808125696135</v>
      </c>
      <c r="CU341" s="247">
        <f t="shared" si="280"/>
        <v>232.41241276766397</v>
      </c>
      <c r="CV341" s="248">
        <f t="shared" si="281"/>
        <v>-7.7971100371651877E-2</v>
      </c>
      <c r="CW341" s="94">
        <f t="shared" si="282"/>
        <v>-4.7138819939347509E-4</v>
      </c>
      <c r="CX341" s="249">
        <f t="shared" si="283"/>
        <v>-6.0455180238994627E-2</v>
      </c>
      <c r="CY341" s="247">
        <f t="shared" si="284"/>
        <v>233.41241276766397</v>
      </c>
      <c r="CZ341" s="248">
        <f t="shared" si="285"/>
        <v>-8.5710680937252495E-2</v>
      </c>
      <c r="DA341" s="94">
        <f t="shared" si="286"/>
        <v>-5.197449863181432E-4</v>
      </c>
      <c r="DB341" s="249">
        <f t="shared" si="287"/>
        <v>1.1574156917453983E-3</v>
      </c>
      <c r="DC341" s="247">
        <f t="shared" si="288"/>
        <v>232.15323164208624</v>
      </c>
      <c r="DD341" s="248">
        <f t="shared" si="289"/>
        <v>-7.5965147169160016E-2</v>
      </c>
      <c r="DE341" s="94">
        <f t="shared" si="290"/>
        <v>-4.5890177737921699E-4</v>
      </c>
      <c r="DF341" s="249">
        <f t="shared" si="291"/>
        <v>-7.6424002202089447E-2</v>
      </c>
      <c r="DG341" s="283">
        <f t="shared" si="292"/>
        <v>-7.6424025574314339E-2</v>
      </c>
      <c r="DH341" s="282">
        <f t="shared" si="293"/>
        <v>2915.1506195880193</v>
      </c>
      <c r="DI341" s="265">
        <f t="shared" si="233"/>
        <v>228.12157397072738</v>
      </c>
      <c r="DJ341" s="265">
        <f t="shared" si="234"/>
        <v>228.15088379835578</v>
      </c>
      <c r="DK341" s="284">
        <f t="shared" si="294"/>
        <v>157.66540478293354</v>
      </c>
      <c r="DL341" s="248">
        <f t="shared" si="295"/>
        <v>0.51706244995560779</v>
      </c>
      <c r="DM341" s="94">
        <f t="shared" si="296"/>
        <v>2.5063926039455339E-3</v>
      </c>
      <c r="DN341" s="249">
        <f t="shared" si="297"/>
        <v>0.51956978949765398</v>
      </c>
      <c r="DO341" s="247">
        <f t="shared" si="298"/>
        <v>158.66540478293354</v>
      </c>
      <c r="DP341" s="248">
        <f t="shared" si="299"/>
        <v>0.50932286939000715</v>
      </c>
      <c r="DQ341" s="94">
        <f t="shared" si="300"/>
        <v>2.476458703311017E-3</v>
      </c>
      <c r="DR341" s="249">
        <f t="shared" si="301"/>
        <v>0.61207792949314987</v>
      </c>
      <c r="DS341" s="247">
        <f t="shared" si="302"/>
        <v>157.66539533977189</v>
      </c>
      <c r="DT341" s="248">
        <f t="shared" si="303"/>
        <v>0.51706252304171807</v>
      </c>
      <c r="DU341" s="94">
        <f t="shared" si="304"/>
        <v>2.5063928856335527E-3</v>
      </c>
      <c r="DV341" s="249">
        <f t="shared" si="305"/>
        <v>0.51956891592833454</v>
      </c>
      <c r="DW341" s="249">
        <f t="shared" si="306"/>
        <v>0.51956891592784316</v>
      </c>
      <c r="DX341" s="249">
        <f t="shared" si="307"/>
        <v>2756.3012728528115</v>
      </c>
      <c r="DY341" s="265">
        <f t="shared" si="235"/>
        <v>151.71835622860038</v>
      </c>
      <c r="DZ341" s="265">
        <f t="shared" si="236"/>
        <v>152.06919195812182</v>
      </c>
      <c r="EA341" s="94">
        <f t="shared" si="308"/>
        <v>6.4075548097597725E-3</v>
      </c>
      <c r="EB341" s="157">
        <f t="shared" si="237"/>
        <v>1.3178259143768984</v>
      </c>
      <c r="EC341" s="285">
        <f t="shared" si="309"/>
        <v>1.7673783595406785</v>
      </c>
      <c r="ED341" s="157">
        <f t="shared" si="310"/>
        <v>4.1278874374458061</v>
      </c>
      <c r="EE341" s="143">
        <f t="shared" si="238"/>
        <v>222.40901550117155</v>
      </c>
    </row>
    <row r="342" spans="1:135" ht="12" customHeight="1" x14ac:dyDescent="0.2">
      <c r="A342" s="200" t="s">
        <v>483</v>
      </c>
      <c r="B342" s="236">
        <f t="shared" si="239"/>
        <v>233.37473617650409</v>
      </c>
      <c r="C342" s="237">
        <f t="shared" si="240"/>
        <v>4.9647094909584908</v>
      </c>
      <c r="D342" s="236">
        <f t="shared" si="241"/>
        <v>2926.0583358016802</v>
      </c>
      <c r="E342" s="236">
        <f t="shared" si="242"/>
        <v>151.71593413853378</v>
      </c>
      <c r="F342" s="237">
        <f t="shared" si="243"/>
        <v>4.9995543996360041</v>
      </c>
      <c r="G342" s="238">
        <f t="shared" si="244"/>
        <v>2756.3012728528115</v>
      </c>
      <c r="H342" s="118">
        <v>1</v>
      </c>
      <c r="I342" s="239">
        <f t="shared" si="245"/>
        <v>220.34507178244866</v>
      </c>
      <c r="J342" s="154">
        <f>J341</f>
        <v>0.30322580645161296</v>
      </c>
      <c r="K342" s="149">
        <f t="shared" si="183"/>
        <v>1</v>
      </c>
      <c r="L342" s="240">
        <f t="shared" si="184"/>
        <v>220.34507178244866</v>
      </c>
      <c r="M342" s="154">
        <f t="shared" si="185"/>
        <v>0.72967204100182781</v>
      </c>
      <c r="N342" s="241">
        <f t="shared" si="186"/>
        <v>220.34507178244866</v>
      </c>
      <c r="O342" s="150">
        <f t="shared" si="187"/>
        <v>0.52862902211116525</v>
      </c>
      <c r="P342" s="150">
        <f t="shared" si="188"/>
        <v>2.9252871792743571</v>
      </c>
      <c r="Q342" s="152">
        <f t="shared" si="189"/>
        <v>2.6505750590115856E-5</v>
      </c>
      <c r="R342" s="152">
        <f t="shared" si="246"/>
        <v>610.95704389576326</v>
      </c>
      <c r="S342" s="153">
        <f t="shared" si="190"/>
        <v>0.104777188297125</v>
      </c>
      <c r="T342" s="154">
        <f t="shared" si="191"/>
        <v>3.1220131320470812</v>
      </c>
      <c r="U342" s="155">
        <f t="shared" si="192"/>
        <v>0.6818591530308572</v>
      </c>
      <c r="V342" s="154">
        <f t="shared" si="193"/>
        <v>4.123345739907542E-2</v>
      </c>
      <c r="W342" s="154">
        <v>0</v>
      </c>
      <c r="X342" s="154">
        <v>0</v>
      </c>
      <c r="Y342" s="154">
        <f t="shared" si="194"/>
        <v>0</v>
      </c>
      <c r="Z342" s="154">
        <f t="shared" si="195"/>
        <v>0</v>
      </c>
      <c r="AA342" s="154">
        <f t="shared" si="196"/>
        <v>0</v>
      </c>
      <c r="AB342" s="1"/>
      <c r="AC342" s="242">
        <f t="shared" si="197"/>
        <v>0</v>
      </c>
      <c r="AD342" s="263">
        <f t="shared" si="198"/>
        <v>2.1682350085751891</v>
      </c>
      <c r="AE342" s="282">
        <f t="shared" si="199"/>
        <v>233.37473617650409</v>
      </c>
      <c r="AF342" s="243">
        <f t="shared" si="200"/>
        <v>0.34502419074746382</v>
      </c>
      <c r="AG342" s="243">
        <f t="shared" si="201"/>
        <v>21.490782392698929</v>
      </c>
      <c r="AH342" s="264">
        <f t="shared" si="202"/>
        <v>1.7504188383713282E-5</v>
      </c>
      <c r="AI342" s="264">
        <f t="shared" si="203"/>
        <v>12035.67132343431</v>
      </c>
      <c r="AJ342" s="245">
        <f t="shared" si="204"/>
        <v>4.4291791641445442E-2</v>
      </c>
      <c r="AK342" s="264">
        <f t="shared" si="205"/>
        <v>0</v>
      </c>
      <c r="AL342" s="246">
        <f t="shared" si="206"/>
        <v>0.9810267161309989</v>
      </c>
      <c r="AM342" s="263">
        <f t="shared" si="207"/>
        <v>3.7929010526129674E-2</v>
      </c>
      <c r="AN342" s="263">
        <f t="shared" si="249"/>
        <v>1.0525339876358435</v>
      </c>
      <c r="AO342" s="263">
        <v>1</v>
      </c>
      <c r="AP342" s="235">
        <f t="shared" si="208"/>
        <v>0</v>
      </c>
      <c r="AQ342" s="235">
        <f t="shared" si="209"/>
        <v>0</v>
      </c>
      <c r="AR342" s="263">
        <f t="shared" si="210"/>
        <v>0</v>
      </c>
      <c r="AT342" s="242">
        <f t="shared" si="211"/>
        <v>0</v>
      </c>
      <c r="AU342" s="263">
        <f t="shared" si="212"/>
        <v>2.67563628523917</v>
      </c>
      <c r="AV342" s="282">
        <f t="shared" si="213"/>
        <v>151.71593413853378</v>
      </c>
      <c r="AW342" s="243">
        <f t="shared" si="214"/>
        <v>0.27959462700929255</v>
      </c>
      <c r="AX342" s="243">
        <f t="shared" si="215"/>
        <v>17.415321732100018</v>
      </c>
      <c r="AY342" s="264">
        <f t="shared" si="216"/>
        <v>1.4116060145459758E-5</v>
      </c>
      <c r="AZ342" s="264">
        <f t="shared" si="217"/>
        <v>14924.465891965656</v>
      </c>
      <c r="BA342" s="245">
        <f t="shared" si="218"/>
        <v>4.3455603395224369E-2</v>
      </c>
      <c r="BB342" s="264">
        <f t="shared" si="219"/>
        <v>0</v>
      </c>
      <c r="BC342" s="246">
        <f t="shared" si="220"/>
        <v>1.0617674249031652</v>
      </c>
      <c r="BD342" s="263">
        <f t="shared" si="221"/>
        <v>3.1447748780671761E-2</v>
      </c>
      <c r="BE342" s="263">
        <v>0</v>
      </c>
      <c r="BF342" s="263">
        <v>0</v>
      </c>
      <c r="BG342" s="235">
        <f t="shared" si="222"/>
        <v>0</v>
      </c>
      <c r="BH342" s="235">
        <f t="shared" si="223"/>
        <v>0</v>
      </c>
      <c r="BI342" s="263">
        <f t="shared" si="224"/>
        <v>0</v>
      </c>
      <c r="BJ342" s="247"/>
      <c r="BK342" s="248"/>
      <c r="BL342" s="94"/>
      <c r="BM342" s="249"/>
      <c r="BN342" s="247"/>
      <c r="BO342" s="248"/>
      <c r="BP342" s="94"/>
      <c r="BQ342" s="249"/>
      <c r="BR342" s="247"/>
      <c r="BS342" s="248"/>
      <c r="BT342" s="94"/>
      <c r="BU342" s="249">
        <f t="shared" si="263"/>
        <v>0</v>
      </c>
      <c r="BV342" s="283">
        <f t="shared" si="264"/>
        <v>0</v>
      </c>
      <c r="BW342" s="282">
        <f t="shared" si="265"/>
        <v>2926.0583358016802</v>
      </c>
      <c r="BX342" s="265">
        <f t="shared" si="225"/>
        <v>233.37346301187341</v>
      </c>
      <c r="BY342" s="265">
        <f t="shared" si="226"/>
        <v>233.38354520249214</v>
      </c>
      <c r="BZ342" s="284"/>
      <c r="CA342" s="248"/>
      <c r="CB342" s="94"/>
      <c r="CC342" s="249"/>
      <c r="CD342" s="247"/>
      <c r="CE342" s="248"/>
      <c r="CF342" s="94"/>
      <c r="CG342" s="249"/>
      <c r="CH342" s="247"/>
      <c r="CI342" s="248"/>
      <c r="CJ342" s="94"/>
      <c r="CK342" s="249">
        <f t="shared" si="276"/>
        <v>0</v>
      </c>
      <c r="CL342" s="249">
        <f t="shared" si="277"/>
        <v>0</v>
      </c>
      <c r="CM342" s="249">
        <f t="shared" si="278"/>
        <v>2756.2962419738151</v>
      </c>
      <c r="CN342" s="265">
        <f t="shared" si="227"/>
        <v>151.71731637219503</v>
      </c>
      <c r="CO342" s="265">
        <f t="shared" si="228"/>
        <v>151.8920431958847</v>
      </c>
      <c r="CP342" s="94"/>
      <c r="CQ342" s="157">
        <f t="shared" si="229"/>
        <v>0</v>
      </c>
      <c r="CR342" s="285">
        <f t="shared" si="230"/>
        <v>0</v>
      </c>
      <c r="CS342" s="157">
        <f t="shared" si="231"/>
        <v>0</v>
      </c>
      <c r="CT342" s="143">
        <f t="shared" si="232"/>
        <v>220.34507178244866</v>
      </c>
      <c r="CU342" s="247"/>
      <c r="CV342" s="248"/>
      <c r="CW342" s="94"/>
      <c r="CX342" s="249"/>
      <c r="CY342" s="247"/>
      <c r="CZ342" s="248"/>
      <c r="DA342" s="94"/>
      <c r="DB342" s="249"/>
      <c r="DC342" s="247"/>
      <c r="DD342" s="248"/>
      <c r="DE342" s="94"/>
      <c r="DF342" s="249">
        <v>0</v>
      </c>
      <c r="DG342" s="283">
        <v>0</v>
      </c>
      <c r="DH342" s="282">
        <f t="shared" si="293"/>
        <v>2915.1506195880193</v>
      </c>
      <c r="DI342" s="265">
        <f t="shared" si="233"/>
        <v>228.12027085387169</v>
      </c>
      <c r="DJ342" s="265">
        <f t="shared" si="234"/>
        <v>228.13557732611372</v>
      </c>
      <c r="DK342" s="284"/>
      <c r="DL342" s="248"/>
      <c r="DM342" s="94"/>
      <c r="DN342" s="249"/>
      <c r="DO342" s="247"/>
      <c r="DP342" s="248"/>
      <c r="DQ342" s="94"/>
      <c r="DR342" s="249"/>
      <c r="DS342" s="247"/>
      <c r="DT342" s="248"/>
      <c r="DU342" s="94"/>
      <c r="DV342" s="249">
        <v>0</v>
      </c>
      <c r="DW342" s="249">
        <v>0</v>
      </c>
      <c r="DX342" s="249">
        <f t="shared" si="307"/>
        <v>2756.3012728528115</v>
      </c>
      <c r="DY342" s="265">
        <f t="shared" si="235"/>
        <v>151.71973845128321</v>
      </c>
      <c r="DZ342" s="265">
        <f t="shared" si="236"/>
        <v>151.8944652047025</v>
      </c>
      <c r="EA342" s="94">
        <f t="shared" si="308"/>
        <v>0</v>
      </c>
      <c r="EB342" s="157">
        <f t="shared" si="237"/>
        <v>0</v>
      </c>
      <c r="EC342" s="285">
        <v>0</v>
      </c>
      <c r="ED342" s="157">
        <f t="shared" si="310"/>
        <v>0</v>
      </c>
      <c r="EE342" s="143">
        <f t="shared" si="238"/>
        <v>220.34507178244866</v>
      </c>
    </row>
    <row r="343" spans="1:135" ht="12" customHeight="1" x14ac:dyDescent="0.2">
      <c r="A343" s="36"/>
      <c r="B343" s="236">
        <f t="shared" si="239"/>
        <v>233.37346301187341</v>
      </c>
      <c r="C343" s="237">
        <f t="shared" si="240"/>
        <v>4.9647094909584908</v>
      </c>
      <c r="D343" s="236">
        <f t="shared" si="241"/>
        <v>2926.0583358016802</v>
      </c>
      <c r="E343" s="236">
        <f t="shared" si="242"/>
        <v>151.71731637219503</v>
      </c>
      <c r="F343" s="237">
        <f t="shared" si="243"/>
        <v>4.9995543996360041</v>
      </c>
      <c r="G343" s="238">
        <f t="shared" si="244"/>
        <v>2756.3012728528115</v>
      </c>
      <c r="I343" s="239">
        <f t="shared" si="245"/>
        <v>220.34507178244866</v>
      </c>
      <c r="J343" s="1"/>
      <c r="K343" s="163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63"/>
      <c r="AD343" s="1"/>
      <c r="AE343" s="1"/>
      <c r="AF343" s="1"/>
      <c r="AG343" s="1"/>
      <c r="AH343" s="1"/>
      <c r="AI343" s="1"/>
      <c r="AJ343" s="1"/>
      <c r="AK343" s="13"/>
      <c r="AL343" s="1"/>
      <c r="AM343" s="1"/>
      <c r="AN343" s="1"/>
      <c r="AO343" s="1"/>
      <c r="AP343" s="1"/>
      <c r="AQ343" s="1"/>
      <c r="AR343" s="1"/>
      <c r="AT343" s="163"/>
      <c r="AU343" s="1"/>
      <c r="AV343" s="1"/>
      <c r="AW343" s="1"/>
      <c r="AX343" s="1"/>
      <c r="AY343" s="1"/>
      <c r="AZ343" s="1"/>
      <c r="BA343" s="1"/>
      <c r="BB343" s="13"/>
      <c r="BC343" s="1"/>
      <c r="BD343" s="1"/>
      <c r="BE343" s="1"/>
      <c r="BF343" s="1"/>
      <c r="BG343" s="1"/>
      <c r="BH343" s="1"/>
      <c r="BI343" s="1"/>
      <c r="BJ343" s="1"/>
      <c r="BK343" s="168"/>
      <c r="BL343" s="286"/>
      <c r="BM343" s="1"/>
      <c r="BN343" s="1"/>
      <c r="BO343" s="167"/>
      <c r="BP343" s="169"/>
      <c r="BQ343" s="1"/>
      <c r="BR343" s="168"/>
      <c r="BS343" s="1"/>
      <c r="BT343" s="14"/>
      <c r="BU343" s="1"/>
      <c r="BW343" s="1"/>
      <c r="BX343" s="1"/>
      <c r="BY343" s="38"/>
      <c r="CA343" s="24"/>
      <c r="CD343" s="156"/>
      <c r="CE343" s="156"/>
      <c r="CF343" s="156"/>
      <c r="DE343" s="27">
        <f>SUM(DE317:DE342)</f>
        <v>0.39832134769072747</v>
      </c>
      <c r="DU343" s="27"/>
      <c r="DV343" s="27"/>
      <c r="DW343" s="27"/>
      <c r="EA343" s="27"/>
      <c r="EB343" s="166"/>
    </row>
    <row r="344" spans="1:135" ht="12" customHeight="1" x14ac:dyDescent="0.2">
      <c r="A344" s="36" t="s">
        <v>484</v>
      </c>
      <c r="C344" s="258"/>
      <c r="D344" s="208" t="s">
        <v>196</v>
      </c>
      <c r="E344" s="24">
        <f>B248-E343</f>
        <v>2.0285763129521683E-2</v>
      </c>
      <c r="F344" s="165" t="s">
        <v>432</v>
      </c>
      <c r="G344" s="27">
        <f>G343-B249</f>
        <v>-3.440054247084845E-2</v>
      </c>
      <c r="AQ344" s="166"/>
      <c r="AU344" s="166"/>
      <c r="BE344" s="260"/>
      <c r="BF344" s="102"/>
      <c r="BG344" s="120"/>
      <c r="BH344" s="102"/>
      <c r="BI344" s="261"/>
      <c r="BJ344" s="119"/>
      <c r="BK344" s="261"/>
      <c r="BL344" s="102"/>
      <c r="BM344" s="119"/>
      <c r="BN344" s="123"/>
      <c r="BO344" s="123"/>
      <c r="BP344" s="123"/>
      <c r="BQ344" s="108"/>
      <c r="BR344" s="108"/>
      <c r="BS344" s="124"/>
      <c r="BT344" s="108"/>
      <c r="BU344" s="260"/>
      <c r="BV344" s="102"/>
      <c r="BW344" s="120"/>
      <c r="BX344" s="120"/>
      <c r="BY344" s="254"/>
      <c r="BZ344" s="254"/>
      <c r="CA344" s="253"/>
      <c r="CB344" s="256"/>
      <c r="CC344" s="256"/>
      <c r="CD344" s="257"/>
      <c r="CE344" s="255"/>
      <c r="CF344" s="255"/>
      <c r="CG344" s="126"/>
      <c r="CH344" s="209"/>
      <c r="CI344" s="256"/>
      <c r="CJ344" s="208"/>
      <c r="CK344" s="208"/>
      <c r="CL344" s="254"/>
      <c r="CM344" s="209"/>
      <c r="CN344" s="254"/>
      <c r="CO344" s="28"/>
      <c r="CP344" s="28"/>
      <c r="CQ344" s="28"/>
      <c r="CR344" s="28"/>
      <c r="CS344" s="28"/>
      <c r="CT344" s="28"/>
      <c r="CU344" s="28"/>
      <c r="CV344" s="28"/>
    </row>
    <row r="345" spans="1:135" ht="12" customHeight="1" x14ac:dyDescent="0.2">
      <c r="A345" s="36" t="s">
        <v>485</v>
      </c>
      <c r="C345" s="13">
        <f>IF(B228=0,0,SUM(T316:T342))</f>
        <v>29.874533891191248</v>
      </c>
      <c r="D345" s="287" t="s">
        <v>280</v>
      </c>
      <c r="E345" s="1"/>
      <c r="F345" s="99">
        <f>C345/1000/9.81*1000</f>
        <v>3.0453143619970691</v>
      </c>
      <c r="G345" s="1" t="s">
        <v>380</v>
      </c>
      <c r="AQ345" s="166"/>
      <c r="AU345" s="166"/>
      <c r="BE345" s="260"/>
      <c r="BF345" s="102"/>
      <c r="BG345" s="120"/>
      <c r="BH345" s="102"/>
      <c r="BI345" s="261"/>
      <c r="BJ345" s="119"/>
      <c r="BK345" s="261"/>
      <c r="BL345" s="102"/>
      <c r="BM345" s="119"/>
      <c r="BN345" s="123"/>
      <c r="BO345" s="123"/>
      <c r="BP345" s="123"/>
      <c r="BQ345" s="108"/>
      <c r="BR345" s="108"/>
      <c r="BS345" s="124"/>
      <c r="BT345" s="108"/>
      <c r="BU345" s="260"/>
      <c r="BV345" s="102"/>
      <c r="BW345" s="120"/>
      <c r="BX345" s="120"/>
      <c r="BY345" s="254"/>
      <c r="BZ345" s="254"/>
      <c r="CA345" s="253"/>
      <c r="CB345" s="256"/>
      <c r="CC345" s="256"/>
      <c r="CD345" s="257"/>
      <c r="CE345" s="255"/>
      <c r="CF345" s="255"/>
      <c r="CG345" s="126"/>
      <c r="CH345" s="209"/>
      <c r="CI345" s="256"/>
      <c r="CJ345" s="208"/>
      <c r="CK345" s="208"/>
      <c r="CL345" s="254"/>
      <c r="CM345" s="209"/>
      <c r="CN345" s="254"/>
      <c r="CO345" s="28"/>
      <c r="CP345" s="28"/>
      <c r="CQ345" s="28"/>
      <c r="CR345" s="28"/>
      <c r="CS345" s="28"/>
      <c r="CT345" s="28"/>
      <c r="CU345" s="28"/>
      <c r="CV345" s="28"/>
    </row>
    <row r="346" spans="1:135" ht="12" customHeight="1" x14ac:dyDescent="0.2">
      <c r="A346" s="36" t="s">
        <v>486</v>
      </c>
      <c r="C346" s="288">
        <f>IF(B228=0,0,(2*B224/(C345+B224))^0.5*B231)</f>
        <v>4.0195926018663826E-4</v>
      </c>
      <c r="D346" s="1" t="s">
        <v>153</v>
      </c>
      <c r="E346" s="289"/>
      <c r="F346" s="165"/>
      <c r="AQ346" s="166"/>
      <c r="AU346" s="166"/>
      <c r="BE346" s="260"/>
      <c r="BF346" s="102"/>
      <c r="BG346" s="120"/>
      <c r="BH346" s="102"/>
      <c r="BI346" s="261"/>
      <c r="BJ346" s="119"/>
      <c r="BK346" s="261"/>
      <c r="BL346" s="102"/>
      <c r="BM346" s="119"/>
      <c r="BN346" s="123"/>
      <c r="BO346" s="123"/>
      <c r="BP346" s="123"/>
      <c r="BQ346" s="108"/>
      <c r="BR346" s="108"/>
      <c r="BS346" s="124"/>
      <c r="BT346" s="108"/>
      <c r="BU346" s="260"/>
      <c r="BV346" s="102"/>
      <c r="BW346" s="120"/>
      <c r="BX346" s="120"/>
      <c r="BY346" s="254"/>
      <c r="BZ346" s="254"/>
      <c r="CA346" s="253"/>
      <c r="CB346" s="256"/>
      <c r="CC346" s="256"/>
      <c r="CD346" s="257"/>
      <c r="CE346" s="255"/>
      <c r="CF346" s="255"/>
      <c r="CG346" s="126"/>
      <c r="CH346" s="209"/>
      <c r="CI346" s="256"/>
      <c r="CJ346" s="208"/>
      <c r="CK346" s="208"/>
      <c r="CL346" s="254"/>
      <c r="CM346" s="209"/>
      <c r="CN346" s="254"/>
      <c r="CO346" s="28"/>
      <c r="CP346" s="28"/>
      <c r="CQ346" s="28"/>
      <c r="CR346" s="28"/>
      <c r="CS346" s="28"/>
      <c r="CT346" s="28"/>
      <c r="CU346" s="28"/>
      <c r="CV346" s="28"/>
    </row>
    <row r="347" spans="1:135" ht="12" customHeight="1" x14ac:dyDescent="0.2">
      <c r="A347" s="36"/>
      <c r="C347" s="288"/>
      <c r="D347" s="1"/>
      <c r="E347" s="259"/>
      <c r="F347" s="165"/>
      <c r="AQ347" s="166"/>
      <c r="AU347" s="166"/>
      <c r="BE347" s="260"/>
      <c r="BF347" s="102"/>
      <c r="BG347" s="120"/>
      <c r="BH347" s="102"/>
      <c r="BI347" s="261"/>
      <c r="BJ347" s="119"/>
      <c r="BK347" s="261"/>
      <c r="BL347" s="102"/>
      <c r="BM347" s="119"/>
      <c r="BN347" s="123"/>
      <c r="BO347" s="123"/>
      <c r="BP347" s="123"/>
      <c r="BQ347" s="108"/>
      <c r="BR347" s="108"/>
      <c r="BS347" s="124"/>
      <c r="BT347" s="108"/>
      <c r="BU347" s="260"/>
      <c r="BV347" s="102"/>
      <c r="BW347" s="120"/>
      <c r="BX347" s="120"/>
      <c r="BY347" s="254"/>
      <c r="BZ347" s="254"/>
      <c r="CA347" s="253"/>
      <c r="CB347" s="256"/>
      <c r="CC347" s="256"/>
      <c r="CD347" s="257"/>
      <c r="CE347" s="255"/>
      <c r="CF347" s="255"/>
      <c r="CG347" s="126"/>
      <c r="CH347" s="209"/>
      <c r="CI347" s="256"/>
      <c r="CJ347" s="208"/>
      <c r="CK347" s="208"/>
      <c r="CL347" s="254"/>
      <c r="CM347" s="209"/>
      <c r="CN347" s="254"/>
      <c r="CO347" s="28"/>
      <c r="CP347" s="28"/>
      <c r="CQ347" s="28"/>
      <c r="CR347" s="28"/>
      <c r="CS347" s="28"/>
      <c r="CT347" s="28"/>
      <c r="CU347" s="28"/>
      <c r="CV347" s="28"/>
    </row>
    <row r="348" spans="1:135" ht="12" customHeight="1" x14ac:dyDescent="0.2">
      <c r="A348" s="36" t="s">
        <v>487</v>
      </c>
      <c r="B348" s="12"/>
      <c r="C348" s="156">
        <f>G316-G344</f>
        <v>2847.4838098586138</v>
      </c>
      <c r="D348" s="290" t="s">
        <v>90</v>
      </c>
      <c r="E348" s="26"/>
      <c r="F348" s="118"/>
      <c r="G348" s="1"/>
      <c r="H348" s="102"/>
      <c r="I348" s="119"/>
      <c r="J348" s="123"/>
      <c r="K348" s="123"/>
      <c r="L348" s="108"/>
      <c r="M348" s="108"/>
      <c r="N348" s="260"/>
      <c r="O348" s="102"/>
      <c r="P348" s="120"/>
      <c r="Q348" s="102"/>
      <c r="R348" s="175"/>
      <c r="S348" s="122"/>
      <c r="T348" s="102"/>
      <c r="U348" s="28"/>
      <c r="V348" s="28"/>
      <c r="W348" s="119"/>
      <c r="X348" s="108"/>
      <c r="Y348" s="108"/>
      <c r="Z348" s="28"/>
      <c r="AA348" s="28"/>
      <c r="AB348" s="260"/>
      <c r="AC348" s="102"/>
      <c r="AD348" s="120"/>
      <c r="AE348" s="120"/>
      <c r="AF348" s="175"/>
      <c r="AG348" s="175"/>
      <c r="AH348" s="214"/>
      <c r="AI348" s="261"/>
      <c r="AJ348" s="291"/>
      <c r="AK348" s="256"/>
      <c r="AL348" s="28"/>
      <c r="AM348" s="108"/>
      <c r="AN348" s="260"/>
      <c r="AO348" s="102"/>
      <c r="AP348" s="120"/>
      <c r="AQ348" s="120"/>
      <c r="AR348" s="119"/>
      <c r="AS348" s="123"/>
      <c r="AT348" s="123"/>
      <c r="AU348" s="124"/>
      <c r="AV348" s="124"/>
      <c r="AW348" s="108"/>
      <c r="AX348" s="102"/>
      <c r="AY348" s="102"/>
      <c r="AZ348" s="119"/>
      <c r="BA348" s="123"/>
      <c r="BB348" s="123"/>
      <c r="BC348" s="108"/>
      <c r="BD348" s="108"/>
      <c r="BE348" s="260"/>
      <c r="BF348" s="102"/>
      <c r="BG348" s="120"/>
      <c r="BH348" s="102"/>
      <c r="BI348" s="261"/>
      <c r="BJ348" s="119"/>
      <c r="BK348" s="261"/>
      <c r="BL348" s="102"/>
      <c r="BM348" s="119"/>
      <c r="BN348" s="123"/>
      <c r="BO348" s="123"/>
      <c r="BP348" s="123"/>
      <c r="BQ348" s="108"/>
      <c r="BR348" s="108"/>
      <c r="BS348" s="124"/>
      <c r="BT348" s="108"/>
      <c r="BU348" s="260"/>
      <c r="BV348" s="102"/>
      <c r="BW348" s="120"/>
      <c r="BX348" s="120"/>
      <c r="BY348" s="254"/>
      <c r="BZ348" s="254"/>
      <c r="CA348" s="253"/>
      <c r="CB348" s="256"/>
      <c r="CC348" s="256"/>
      <c r="CD348" s="257"/>
      <c r="CE348" s="255"/>
      <c r="CF348" s="255"/>
      <c r="CG348" s="126"/>
      <c r="CH348" s="209"/>
      <c r="CI348" s="256"/>
      <c r="CJ348" s="208"/>
      <c r="CK348" s="208"/>
      <c r="CL348" s="254"/>
      <c r="CM348" s="209"/>
      <c r="CN348" s="254"/>
      <c r="CO348" s="28"/>
      <c r="CP348" s="28"/>
      <c r="CQ348" s="28"/>
      <c r="CR348" s="28"/>
      <c r="CS348" s="28"/>
      <c r="CT348" s="28"/>
      <c r="CU348" s="28"/>
      <c r="CV348" s="28"/>
    </row>
    <row r="349" spans="1:135" ht="12" customHeight="1" x14ac:dyDescent="0.2">
      <c r="A349" s="36" t="s">
        <v>488</v>
      </c>
      <c r="B349" s="12"/>
      <c r="C349" s="165">
        <f>IF(C348&lt;(2677.2*F342^0.0161),100.55*F342^0.2536,(C348+9.0877*F342-2486.6)/(0.0199*F342+1.9776))</f>
        <v>195.61888932471572</v>
      </c>
      <c r="D349" s="287" t="s">
        <v>47</v>
      </c>
      <c r="E349" s="26"/>
      <c r="F349" s="118"/>
      <c r="G349" s="1"/>
      <c r="H349" s="102"/>
      <c r="I349" s="119"/>
      <c r="J349" s="123"/>
      <c r="K349" s="123"/>
      <c r="L349" s="108"/>
      <c r="M349" s="108"/>
      <c r="N349" s="260"/>
      <c r="O349" s="102"/>
      <c r="P349" s="120"/>
      <c r="Q349" s="102"/>
      <c r="R349" s="175"/>
      <c r="S349" s="122"/>
      <c r="T349" s="102"/>
      <c r="U349" s="28"/>
      <c r="V349" s="28"/>
      <c r="W349" s="119"/>
      <c r="X349" s="108"/>
      <c r="Y349" s="108"/>
      <c r="Z349" s="28"/>
      <c r="AA349" s="28"/>
      <c r="AB349" s="260"/>
      <c r="AC349" s="102"/>
      <c r="AD349" s="120"/>
      <c r="AE349" s="120"/>
      <c r="AF349" s="175"/>
      <c r="AG349" s="175"/>
      <c r="AH349" s="214"/>
      <c r="AI349" s="261"/>
      <c r="AJ349" s="291"/>
      <c r="AK349" s="256"/>
      <c r="AL349" s="28"/>
      <c r="AM349" s="108"/>
      <c r="AN349" s="260"/>
      <c r="AO349" s="102"/>
      <c r="AP349" s="120"/>
      <c r="AQ349" s="120"/>
      <c r="AR349" s="119"/>
      <c r="AS349" s="123"/>
      <c r="AT349" s="123"/>
      <c r="AU349" s="124"/>
      <c r="AV349" s="124"/>
      <c r="AW349" s="108"/>
      <c r="AX349" s="102"/>
      <c r="AY349" s="102"/>
      <c r="AZ349" s="119"/>
      <c r="BA349" s="123"/>
      <c r="BB349" s="123"/>
      <c r="BC349" s="108"/>
      <c r="BD349" s="108"/>
      <c r="BE349" s="260"/>
      <c r="BF349" s="102"/>
      <c r="BG349" s="120"/>
      <c r="BH349" s="102"/>
      <c r="BI349" s="261"/>
      <c r="BJ349" s="119"/>
      <c r="BK349" s="261"/>
      <c r="BL349" s="102"/>
      <c r="BM349" s="119"/>
      <c r="BN349" s="123"/>
      <c r="BO349" s="123"/>
      <c r="BP349" s="123"/>
      <c r="BQ349" s="108"/>
      <c r="BR349" s="108"/>
      <c r="BS349" s="124"/>
      <c r="BT349" s="108"/>
      <c r="BU349" s="260"/>
      <c r="BV349" s="102"/>
      <c r="BW349" s="120"/>
      <c r="BX349" s="120"/>
      <c r="BY349" s="254"/>
      <c r="BZ349" s="254"/>
      <c r="CA349" s="253"/>
      <c r="CB349" s="256"/>
      <c r="CC349" s="256"/>
      <c r="CD349" s="257"/>
      <c r="CE349" s="255"/>
      <c r="CF349" s="255"/>
      <c r="CG349" s="126"/>
      <c r="CH349" s="209"/>
      <c r="CI349" s="256"/>
      <c r="CJ349" s="208"/>
      <c r="CK349" s="208"/>
      <c r="CL349" s="254"/>
      <c r="CM349" s="209"/>
      <c r="CN349" s="254"/>
      <c r="CO349" s="28"/>
      <c r="CP349" s="28"/>
      <c r="CQ349" s="28"/>
      <c r="CR349" s="28"/>
      <c r="CS349" s="28"/>
      <c r="CT349" s="28"/>
      <c r="CU349" s="28"/>
      <c r="CV349" s="28"/>
    </row>
    <row r="350" spans="1:135" ht="12" customHeight="1" x14ac:dyDescent="0.2">
      <c r="A350" s="36" t="s">
        <v>489</v>
      </c>
      <c r="B350" s="12"/>
      <c r="C350" s="95">
        <f>IF(B228=0,0,SUM(EA316:EB342)/1000*B228)</f>
        <v>1.151369132628087</v>
      </c>
      <c r="D350" s="287" t="s">
        <v>268</v>
      </c>
      <c r="E350" s="26"/>
      <c r="F350" s="118"/>
      <c r="G350" s="1"/>
      <c r="H350" s="102"/>
      <c r="I350" s="119"/>
      <c r="J350" s="123"/>
      <c r="K350" s="123"/>
      <c r="L350" s="108"/>
      <c r="M350" s="108"/>
      <c r="N350" s="260"/>
      <c r="O350" s="102"/>
      <c r="P350" s="120"/>
      <c r="Q350" s="102"/>
      <c r="R350" s="175"/>
      <c r="S350" s="122"/>
      <c r="T350" s="102"/>
      <c r="U350" s="28"/>
      <c r="V350" s="28"/>
      <c r="W350" s="119"/>
      <c r="X350" s="108"/>
      <c r="Y350" s="108"/>
      <c r="Z350" s="28"/>
      <c r="AA350" s="28"/>
      <c r="AB350" s="260"/>
      <c r="AC350" s="102"/>
      <c r="AD350" s="120"/>
      <c r="AE350" s="120"/>
      <c r="AF350" s="175"/>
      <c r="AG350" s="175"/>
      <c r="AH350" s="214"/>
      <c r="AI350" s="261"/>
      <c r="AJ350" s="291"/>
      <c r="AK350" s="256"/>
      <c r="AL350" s="28"/>
      <c r="AM350" s="108"/>
      <c r="AN350" s="260"/>
      <c r="AO350" s="102"/>
      <c r="AP350" s="120"/>
      <c r="AQ350" s="120"/>
      <c r="AR350" s="119"/>
      <c r="AS350" s="123"/>
      <c r="AT350" s="123"/>
      <c r="AU350" s="124"/>
      <c r="AV350" s="124"/>
      <c r="AW350" s="108"/>
      <c r="AX350" s="102"/>
      <c r="AY350" s="102"/>
      <c r="AZ350" s="119"/>
      <c r="BA350" s="123"/>
      <c r="BB350" s="123"/>
      <c r="BC350" s="108"/>
      <c r="BD350" s="108"/>
      <c r="BE350" s="260"/>
      <c r="BF350" s="102"/>
      <c r="BG350" s="120"/>
      <c r="BH350" s="102"/>
      <c r="BI350" s="261"/>
      <c r="BJ350" s="119"/>
      <c r="BK350" s="261"/>
      <c r="BL350" s="102"/>
      <c r="BM350" s="119"/>
      <c r="BN350" s="123"/>
      <c r="BO350" s="123"/>
      <c r="BP350" s="123"/>
      <c r="BQ350" s="108"/>
      <c r="BR350" s="108"/>
      <c r="BS350" s="124"/>
      <c r="BT350" s="108"/>
      <c r="BU350" s="260"/>
      <c r="BV350" s="102"/>
      <c r="BW350" s="120"/>
      <c r="BX350" s="120"/>
      <c r="BY350" s="254"/>
      <c r="BZ350" s="254"/>
      <c r="CA350" s="253"/>
      <c r="CB350" s="256"/>
      <c r="CC350" s="256"/>
      <c r="CD350" s="257"/>
      <c r="CE350" s="255"/>
      <c r="CF350" s="255"/>
      <c r="CG350" s="126"/>
      <c r="CH350" s="209"/>
      <c r="CI350" s="256"/>
      <c r="CJ350" s="208"/>
      <c r="CK350" s="208"/>
      <c r="CL350" s="254"/>
      <c r="CM350" s="209"/>
      <c r="CN350" s="254"/>
      <c r="CO350" s="28"/>
      <c r="CP350" s="28"/>
      <c r="CQ350" s="28"/>
      <c r="CR350" s="28"/>
      <c r="CS350" s="28"/>
      <c r="CT350" s="28"/>
      <c r="CU350" s="28"/>
      <c r="CV350" s="28"/>
    </row>
    <row r="351" spans="1:135" ht="12" customHeight="1" x14ac:dyDescent="0.2">
      <c r="A351" s="36" t="s">
        <v>490</v>
      </c>
      <c r="B351" s="12"/>
      <c r="C351" s="13">
        <f>C350/(B10-B5)</f>
        <v>4.2879844321813796E-4</v>
      </c>
      <c r="D351" s="287" t="s">
        <v>301</v>
      </c>
      <c r="E351" s="26"/>
      <c r="F351" s="118"/>
      <c r="G351" s="1"/>
      <c r="H351" s="102"/>
      <c r="I351" s="119"/>
      <c r="J351" s="123"/>
      <c r="K351" s="123"/>
      <c r="L351" s="108"/>
      <c r="M351" s="108"/>
      <c r="N351" s="260"/>
      <c r="O351" s="102"/>
      <c r="P351" s="120"/>
      <c r="Q351" s="102"/>
      <c r="R351" s="175"/>
      <c r="S351" s="122"/>
      <c r="T351" s="102"/>
      <c r="U351" s="28"/>
      <c r="V351" s="28"/>
      <c r="W351" s="119"/>
      <c r="X351" s="108"/>
      <c r="Y351" s="108"/>
      <c r="Z351" s="28"/>
      <c r="AA351" s="28"/>
      <c r="AB351" s="260"/>
      <c r="AC351" s="102"/>
      <c r="AD351" s="120"/>
      <c r="AE351" s="120"/>
      <c r="AF351" s="175"/>
      <c r="AG351" s="175"/>
      <c r="AH351" s="214"/>
      <c r="AI351" s="261"/>
      <c r="AJ351" s="291"/>
      <c r="AK351" s="256"/>
      <c r="AL351" s="28"/>
      <c r="AM351" s="108"/>
      <c r="AN351" s="260"/>
      <c r="AO351" s="102"/>
      <c r="AP351" s="120"/>
      <c r="AQ351" s="120"/>
      <c r="AR351" s="119"/>
      <c r="AS351" s="123"/>
      <c r="AT351" s="123"/>
      <c r="AU351" s="124"/>
      <c r="AV351" s="124"/>
      <c r="AW351" s="108"/>
      <c r="AX351" s="102"/>
      <c r="AY351" s="102"/>
      <c r="AZ351" s="119"/>
      <c r="BA351" s="123"/>
      <c r="BB351" s="123"/>
      <c r="BC351" s="108"/>
      <c r="BD351" s="108"/>
      <c r="BE351" s="260"/>
      <c r="BF351" s="102"/>
      <c r="BG351" s="120"/>
      <c r="BH351" s="102"/>
      <c r="BI351" s="261"/>
      <c r="BJ351" s="119"/>
      <c r="BK351" s="261"/>
      <c r="BL351" s="102"/>
      <c r="BM351" s="119"/>
      <c r="BN351" s="123"/>
      <c r="BO351" s="123"/>
      <c r="BP351" s="123"/>
      <c r="BQ351" s="108"/>
      <c r="BR351" s="108"/>
      <c r="BS351" s="124"/>
      <c r="BT351" s="108"/>
      <c r="BU351" s="260"/>
      <c r="BV351" s="102"/>
      <c r="BW351" s="120"/>
      <c r="BX351" s="120"/>
      <c r="BY351" s="254"/>
      <c r="BZ351" s="254"/>
      <c r="CA351" s="253"/>
      <c r="CB351" s="256"/>
      <c r="CC351" s="256"/>
      <c r="CD351" s="257"/>
      <c r="CE351" s="255"/>
      <c r="CF351" s="255"/>
      <c r="CG351" s="126"/>
      <c r="CH351" s="209"/>
      <c r="CI351" s="256"/>
      <c r="CJ351" s="208"/>
      <c r="CK351" s="208"/>
      <c r="CL351" s="254"/>
      <c r="CM351" s="209"/>
      <c r="CN351" s="254"/>
      <c r="CO351" s="28"/>
      <c r="CP351" s="28"/>
      <c r="CQ351" s="28"/>
      <c r="CR351" s="28"/>
      <c r="CS351" s="28"/>
      <c r="CT351" s="28"/>
      <c r="CU351" s="28"/>
      <c r="CV351" s="28"/>
    </row>
    <row r="352" spans="1:135" ht="12" customHeight="1" x14ac:dyDescent="0.2">
      <c r="A352" s="36"/>
      <c r="B352" s="12"/>
      <c r="C352" s="1"/>
      <c r="D352" s="287"/>
      <c r="E352" s="26"/>
      <c r="F352" s="118"/>
      <c r="G352" s="1"/>
      <c r="H352" s="102"/>
      <c r="I352" s="119"/>
      <c r="J352" s="123"/>
      <c r="K352" s="123"/>
      <c r="L352" s="108"/>
      <c r="M352" s="108"/>
      <c r="N352" s="260"/>
      <c r="O352" s="102"/>
      <c r="P352" s="120"/>
      <c r="Q352" s="102"/>
      <c r="R352" s="175"/>
      <c r="S352" s="122"/>
      <c r="T352" s="102"/>
      <c r="U352" s="28"/>
      <c r="V352" s="28"/>
      <c r="W352" s="119"/>
      <c r="X352" s="108"/>
      <c r="Y352" s="108"/>
      <c r="Z352" s="28"/>
      <c r="AA352" s="28"/>
      <c r="AB352" s="260"/>
      <c r="AC352" s="102"/>
      <c r="AD352" s="120"/>
      <c r="AE352" s="120"/>
      <c r="AF352" s="175"/>
      <c r="AG352" s="175"/>
      <c r="AH352" s="214"/>
      <c r="AI352" s="261"/>
      <c r="AJ352" s="291"/>
      <c r="AK352" s="256"/>
      <c r="AL352" s="28"/>
      <c r="AM352" s="108"/>
      <c r="AN352" s="260"/>
      <c r="AO352" s="102"/>
      <c r="AP352" s="120"/>
      <c r="AQ352" s="120"/>
      <c r="AR352" s="119"/>
      <c r="AS352" s="123"/>
      <c r="AT352" s="123"/>
      <c r="AU352" s="124"/>
      <c r="AV352" s="124"/>
      <c r="AW352" s="108"/>
      <c r="AX352" s="102"/>
      <c r="AY352" s="102"/>
      <c r="AZ352" s="119"/>
      <c r="BA352" s="123"/>
      <c r="BB352" s="123"/>
      <c r="BC352" s="108"/>
      <c r="BD352" s="108"/>
      <c r="BE352" s="260"/>
      <c r="BF352" s="102"/>
      <c r="BG352" s="120"/>
      <c r="BH352" s="102"/>
      <c r="BI352" s="261"/>
      <c r="BJ352" s="119"/>
      <c r="BK352" s="261"/>
      <c r="BL352" s="102"/>
      <c r="BM352" s="119"/>
      <c r="BN352" s="123"/>
      <c r="BO352" s="123"/>
      <c r="BP352" s="123"/>
      <c r="BQ352" s="108"/>
      <c r="BR352" s="108"/>
      <c r="BS352" s="124"/>
      <c r="BT352" s="108"/>
      <c r="BU352" s="260"/>
      <c r="BV352" s="102"/>
      <c r="BW352" s="120"/>
      <c r="BX352" s="120"/>
      <c r="BY352" s="254"/>
      <c r="BZ352" s="254"/>
      <c r="CA352" s="253"/>
      <c r="CB352" s="256"/>
      <c r="CC352" s="256"/>
      <c r="CD352" s="257"/>
      <c r="CE352" s="255"/>
      <c r="CF352" s="255"/>
      <c r="CG352" s="126"/>
      <c r="CH352" s="209"/>
      <c r="CI352" s="256"/>
      <c r="CJ352" s="208"/>
      <c r="CK352" s="208"/>
      <c r="CL352" s="254"/>
      <c r="CM352" s="209"/>
      <c r="CN352" s="254"/>
      <c r="CO352" s="28"/>
      <c r="CP352" s="28"/>
      <c r="CQ352" s="28"/>
      <c r="CR352" s="28"/>
      <c r="CS352" s="28"/>
      <c r="CT352" s="28"/>
      <c r="CU352" s="28"/>
      <c r="CV352" s="28"/>
    </row>
    <row r="353" spans="1:100" ht="12" customHeight="1" x14ac:dyDescent="0.2">
      <c r="A353" s="32" t="s">
        <v>491</v>
      </c>
      <c r="B353" s="33"/>
      <c r="C353" s="33"/>
      <c r="D353" s="33"/>
      <c r="E353" s="33"/>
      <c r="F353" s="199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1"/>
      <c r="AG353" s="35"/>
      <c r="AL353" s="28"/>
      <c r="AM353" s="108"/>
      <c r="AN353" s="260"/>
      <c r="AO353" s="102"/>
      <c r="AP353" s="120"/>
      <c r="AQ353" s="120"/>
      <c r="AR353" s="119"/>
      <c r="AS353" s="123"/>
      <c r="AT353" s="123"/>
      <c r="AU353" s="124"/>
      <c r="AV353" s="124"/>
      <c r="AW353" s="108"/>
      <c r="AX353" s="102"/>
      <c r="AY353" s="102"/>
      <c r="AZ353" s="119"/>
      <c r="BA353" s="123"/>
      <c r="BB353" s="123"/>
      <c r="BC353" s="108"/>
      <c r="BD353" s="108"/>
      <c r="BE353" s="260"/>
      <c r="BF353" s="102"/>
      <c r="BG353" s="120"/>
      <c r="BH353" s="102"/>
      <c r="BI353" s="261"/>
      <c r="BJ353" s="119"/>
      <c r="BK353" s="261"/>
      <c r="BL353" s="102"/>
      <c r="BM353" s="119"/>
      <c r="BN353" s="123"/>
      <c r="BO353" s="123"/>
      <c r="BP353" s="123"/>
      <c r="BQ353" s="108"/>
      <c r="BR353" s="108"/>
      <c r="BS353" s="124"/>
      <c r="BT353" s="108"/>
      <c r="BU353" s="260"/>
      <c r="BV353" s="102"/>
      <c r="BW353" s="120"/>
      <c r="BX353" s="120"/>
      <c r="BY353" s="254"/>
      <c r="BZ353" s="254"/>
      <c r="CA353" s="253"/>
      <c r="CB353" s="256"/>
      <c r="CC353" s="256"/>
      <c r="CD353" s="257"/>
      <c r="CE353" s="255"/>
      <c r="CF353" s="255"/>
      <c r="CG353" s="126"/>
      <c r="CH353" s="209"/>
      <c r="CI353" s="256"/>
      <c r="CJ353" s="208"/>
      <c r="CK353" s="208"/>
      <c r="CL353" s="254"/>
      <c r="CM353" s="209"/>
      <c r="CN353" s="254"/>
      <c r="CO353" s="28"/>
      <c r="CP353" s="28"/>
      <c r="CQ353" s="28"/>
      <c r="CR353" s="28"/>
      <c r="CS353" s="28"/>
      <c r="CT353" s="28"/>
      <c r="CU353" s="28"/>
      <c r="CV353" s="28"/>
    </row>
    <row r="354" spans="1:100" ht="12" customHeight="1" x14ac:dyDescent="0.2">
      <c r="A354" s="36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38"/>
      <c r="AL354" s="28"/>
      <c r="AM354" s="108"/>
      <c r="AN354" s="260"/>
      <c r="AO354" s="102"/>
      <c r="AP354" s="120"/>
      <c r="AQ354" s="120"/>
      <c r="AR354" s="119"/>
      <c r="AS354" s="123"/>
      <c r="AT354" s="123"/>
      <c r="AU354" s="124"/>
      <c r="AV354" s="124"/>
      <c r="AW354" s="108"/>
      <c r="AX354" s="102"/>
      <c r="AY354" s="102"/>
      <c r="AZ354" s="119"/>
      <c r="BA354" s="123"/>
      <c r="BB354" s="123"/>
      <c r="BC354" s="108"/>
      <c r="BD354" s="108"/>
      <c r="BE354" s="260"/>
      <c r="BF354" s="102"/>
      <c r="BG354" s="120"/>
      <c r="BH354" s="102"/>
      <c r="BI354" s="261"/>
      <c r="BJ354" s="119"/>
      <c r="BK354" s="261"/>
      <c r="BL354" s="102"/>
      <c r="BM354" s="119"/>
      <c r="BN354" s="123"/>
      <c r="BO354" s="123"/>
      <c r="BP354" s="123"/>
      <c r="BQ354" s="108"/>
      <c r="BR354" s="108"/>
      <c r="BS354" s="124"/>
      <c r="BT354" s="108"/>
      <c r="BU354" s="260"/>
      <c r="BV354" s="102"/>
      <c r="BW354" s="120"/>
      <c r="BX354" s="120"/>
      <c r="BY354" s="254"/>
      <c r="BZ354" s="254"/>
      <c r="CA354" s="253"/>
      <c r="CB354" s="256"/>
      <c r="CC354" s="256"/>
      <c r="CD354" s="257"/>
      <c r="CE354" s="255"/>
      <c r="CF354" s="255"/>
      <c r="CG354" s="126"/>
      <c r="CH354" s="209"/>
      <c r="CI354" s="256"/>
      <c r="CJ354" s="208"/>
      <c r="CK354" s="208"/>
      <c r="CL354" s="254"/>
      <c r="CM354" s="209"/>
      <c r="CN354" s="254"/>
      <c r="CO354" s="28"/>
      <c r="CP354" s="28"/>
      <c r="CQ354" s="28"/>
      <c r="CR354" s="28"/>
      <c r="CS354" s="28"/>
      <c r="CT354" s="28"/>
      <c r="CU354" s="28"/>
      <c r="CV354" s="28"/>
    </row>
    <row r="355" spans="1:100" ht="12" customHeight="1" x14ac:dyDescent="0.2">
      <c r="A355" s="200" t="s">
        <v>326</v>
      </c>
      <c r="B355" s="201">
        <f>B43</f>
        <v>7.1147906339882909E-3</v>
      </c>
      <c r="C355" s="89" t="s">
        <v>327</v>
      </c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38"/>
      <c r="AL355" s="28"/>
      <c r="AM355" s="108"/>
      <c r="AN355" s="260"/>
      <c r="AO355" s="102"/>
      <c r="AP355" s="120"/>
      <c r="AQ355" s="120"/>
      <c r="AR355" s="119"/>
      <c r="AS355" s="123"/>
      <c r="AT355" s="123"/>
      <c r="AU355" s="124"/>
      <c r="AV355" s="124"/>
      <c r="AW355" s="108"/>
      <c r="AX355" s="102"/>
      <c r="AY355" s="102"/>
      <c r="AZ355" s="119"/>
      <c r="BA355" s="123"/>
      <c r="BB355" s="123"/>
      <c r="BC355" s="108"/>
      <c r="BD355" s="108"/>
      <c r="BE355" s="260"/>
      <c r="BF355" s="102"/>
      <c r="BG355" s="120"/>
      <c r="BH355" s="102"/>
      <c r="BI355" s="261"/>
      <c r="BJ355" s="119"/>
      <c r="BK355" s="261"/>
      <c r="BL355" s="102"/>
      <c r="BM355" s="119"/>
      <c r="BN355" s="123"/>
      <c r="BO355" s="123"/>
      <c r="BP355" s="123"/>
      <c r="BQ355" s="108"/>
      <c r="BR355" s="108"/>
      <c r="BS355" s="124"/>
      <c r="BT355" s="108"/>
      <c r="BU355" s="260"/>
      <c r="BV355" s="102"/>
      <c r="BW355" s="120"/>
      <c r="BX355" s="120"/>
      <c r="BY355" s="254"/>
      <c r="BZ355" s="254"/>
      <c r="CA355" s="253"/>
      <c r="CB355" s="256"/>
      <c r="CC355" s="256"/>
      <c r="CD355" s="257"/>
      <c r="CE355" s="255"/>
      <c r="CF355" s="255"/>
      <c r="CG355" s="126"/>
      <c r="CH355" s="209"/>
      <c r="CI355" s="256"/>
      <c r="CJ355" s="208"/>
      <c r="CK355" s="208"/>
      <c r="CL355" s="254"/>
      <c r="CM355" s="209"/>
      <c r="CN355" s="254"/>
      <c r="CO355" s="28"/>
      <c r="CP355" s="28"/>
      <c r="CQ355" s="28"/>
      <c r="CR355" s="28"/>
      <c r="CS355" s="28"/>
      <c r="CT355" s="28"/>
      <c r="CU355" s="28"/>
      <c r="CV355" s="28"/>
    </row>
    <row r="356" spans="1:100" ht="12" customHeight="1" x14ac:dyDescent="0.2">
      <c r="A356" s="36" t="s">
        <v>328</v>
      </c>
      <c r="B356" s="12">
        <f>C116</f>
        <v>1034.2609350901587</v>
      </c>
      <c r="C356" s="1" t="s">
        <v>47</v>
      </c>
      <c r="D356" s="12">
        <f>B356*9/5+32</f>
        <v>1893.6696831622855</v>
      </c>
      <c r="E356" s="9" t="s">
        <v>144</v>
      </c>
      <c r="F356" s="98" t="s">
        <v>329</v>
      </c>
      <c r="H356" s="99">
        <f>B356*B357</f>
        <v>1148.0296379500762</v>
      </c>
      <c r="I356" s="1" t="s">
        <v>330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38"/>
      <c r="AL356" s="28"/>
      <c r="AM356" s="108"/>
      <c r="AN356" s="260"/>
      <c r="AO356" s="102"/>
      <c r="AP356" s="120"/>
      <c r="AQ356" s="120"/>
      <c r="AR356" s="119"/>
      <c r="AS356" s="123"/>
      <c r="AT356" s="123"/>
      <c r="AU356" s="124"/>
      <c r="AV356" s="124"/>
      <c r="AW356" s="108"/>
      <c r="AX356" s="102"/>
      <c r="AY356" s="102"/>
      <c r="AZ356" s="119"/>
      <c r="BA356" s="123"/>
      <c r="BB356" s="123"/>
      <c r="BC356" s="108"/>
      <c r="BD356" s="108"/>
      <c r="BE356" s="260"/>
      <c r="BF356" s="102"/>
      <c r="BG356" s="120"/>
      <c r="BH356" s="102"/>
      <c r="BI356" s="261"/>
      <c r="BJ356" s="119"/>
      <c r="BK356" s="261"/>
      <c r="BL356" s="102"/>
      <c r="BM356" s="119"/>
      <c r="BN356" s="123"/>
      <c r="BO356" s="123"/>
      <c r="BP356" s="123"/>
      <c r="BQ356" s="108"/>
      <c r="BR356" s="108"/>
      <c r="BS356" s="124"/>
      <c r="BT356" s="108"/>
      <c r="BU356" s="260"/>
      <c r="BV356" s="102"/>
      <c r="BW356" s="120"/>
      <c r="BX356" s="120"/>
      <c r="BY356" s="254"/>
      <c r="BZ356" s="254"/>
      <c r="CA356" s="253"/>
      <c r="CB356" s="256"/>
      <c r="CC356" s="256"/>
      <c r="CD356" s="257"/>
      <c r="CE356" s="255"/>
      <c r="CF356" s="255"/>
      <c r="CG356" s="126"/>
      <c r="CH356" s="209"/>
      <c r="CI356" s="256"/>
      <c r="CJ356" s="208"/>
      <c r="CK356" s="208"/>
      <c r="CL356" s="254"/>
      <c r="CM356" s="209"/>
      <c r="CN356" s="254"/>
      <c r="CO356" s="28"/>
      <c r="CP356" s="28"/>
      <c r="CQ356" s="28"/>
      <c r="CR356" s="28"/>
      <c r="CS356" s="28"/>
      <c r="CT356" s="28"/>
      <c r="CU356" s="28"/>
      <c r="CV356" s="28"/>
    </row>
    <row r="357" spans="1:100" ht="12" customHeight="1" x14ac:dyDescent="0.2">
      <c r="A357" s="36" t="s">
        <v>25</v>
      </c>
      <c r="B357" s="1">
        <f>'Data Input'!B15</f>
        <v>1.1100000000000001</v>
      </c>
      <c r="C357" s="1" t="s">
        <v>26</v>
      </c>
      <c r="D357" s="1" t="s">
        <v>331</v>
      </c>
      <c r="E357" s="98"/>
      <c r="F357" s="1"/>
      <c r="G357" s="99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38"/>
      <c r="AL357" s="28"/>
      <c r="AM357" s="108"/>
      <c r="AN357" s="260"/>
      <c r="AO357" s="102"/>
      <c r="AP357" s="120"/>
      <c r="AQ357" s="120"/>
      <c r="AR357" s="119"/>
      <c r="AS357" s="123"/>
      <c r="AT357" s="123"/>
      <c r="AU357" s="124"/>
      <c r="AV357" s="124"/>
      <c r="AW357" s="108"/>
      <c r="AX357" s="102"/>
      <c r="AY357" s="102"/>
      <c r="AZ357" s="119"/>
      <c r="BA357" s="123"/>
      <c r="BB357" s="123"/>
      <c r="BC357" s="108"/>
      <c r="BD357" s="108"/>
      <c r="BE357" s="260"/>
      <c r="BF357" s="102"/>
      <c r="BG357" s="120"/>
      <c r="BH357" s="102"/>
      <c r="BI357" s="261"/>
      <c r="BJ357" s="119"/>
      <c r="BK357" s="261"/>
      <c r="BL357" s="102"/>
      <c r="BM357" s="119"/>
      <c r="BN357" s="123"/>
      <c r="BO357" s="123"/>
      <c r="BP357" s="123"/>
      <c r="BQ357" s="108"/>
      <c r="BR357" s="108"/>
      <c r="BS357" s="124"/>
      <c r="BT357" s="108"/>
      <c r="BU357" s="260"/>
      <c r="BV357" s="102"/>
      <c r="BW357" s="120"/>
      <c r="BX357" s="120"/>
      <c r="BY357" s="254"/>
      <c r="BZ357" s="254"/>
      <c r="CA357" s="253"/>
      <c r="CB357" s="256"/>
      <c r="CC357" s="256"/>
      <c r="CD357" s="257"/>
      <c r="CE357" s="255"/>
      <c r="CF357" s="255"/>
      <c r="CG357" s="126"/>
      <c r="CH357" s="209"/>
      <c r="CI357" s="256"/>
      <c r="CJ357" s="208"/>
      <c r="CK357" s="208"/>
      <c r="CL357" s="254"/>
      <c r="CM357" s="209"/>
      <c r="CN357" s="254"/>
      <c r="CO357" s="28"/>
      <c r="CP357" s="28"/>
      <c r="CQ357" s="28"/>
      <c r="CR357" s="28"/>
      <c r="CS357" s="28"/>
      <c r="CT357" s="28"/>
      <c r="CU357" s="28"/>
      <c r="CV357" s="28"/>
    </row>
    <row r="358" spans="1:100" ht="12" customHeight="1" x14ac:dyDescent="0.2">
      <c r="A358" s="36" t="s">
        <v>332</v>
      </c>
      <c r="B358" s="37">
        <f>B6</f>
        <v>161.00127538118977</v>
      </c>
      <c r="C358" s="1" t="s">
        <v>47</v>
      </c>
      <c r="E358" s="98"/>
      <c r="F358" s="1"/>
      <c r="G358" s="99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38"/>
      <c r="AL358" s="28"/>
      <c r="AM358" s="108"/>
      <c r="AN358" s="260"/>
      <c r="AO358" s="102"/>
      <c r="AP358" s="120"/>
      <c r="AQ358" s="120"/>
      <c r="AR358" s="119"/>
      <c r="AS358" s="123"/>
      <c r="AT358" s="123"/>
      <c r="AU358" s="124"/>
      <c r="AV358" s="124"/>
      <c r="AW358" s="108"/>
      <c r="AX358" s="102"/>
      <c r="AY358" s="102"/>
      <c r="AZ358" s="119"/>
      <c r="BA358" s="123"/>
      <c r="BB358" s="123"/>
      <c r="BC358" s="108"/>
      <c r="BD358" s="108"/>
      <c r="BE358" s="260"/>
      <c r="BF358" s="102"/>
      <c r="BG358" s="120"/>
      <c r="BH358" s="102"/>
      <c r="BI358" s="261"/>
      <c r="BJ358" s="119"/>
      <c r="BK358" s="261"/>
      <c r="BL358" s="102"/>
      <c r="BM358" s="119"/>
      <c r="BN358" s="123"/>
      <c r="BO358" s="123"/>
      <c r="BP358" s="123"/>
      <c r="BQ358" s="108"/>
      <c r="BR358" s="108"/>
      <c r="BS358" s="124"/>
      <c r="BT358" s="108"/>
      <c r="BU358" s="260"/>
      <c r="BV358" s="102"/>
      <c r="BW358" s="120"/>
      <c r="BX358" s="120"/>
      <c r="BY358" s="254"/>
      <c r="BZ358" s="254"/>
      <c r="CA358" s="253"/>
      <c r="CB358" s="256"/>
      <c r="CC358" s="256"/>
      <c r="CD358" s="257"/>
      <c r="CE358" s="255"/>
      <c r="CF358" s="255"/>
      <c r="CG358" s="126"/>
      <c r="CH358" s="209"/>
      <c r="CI358" s="256"/>
      <c r="CJ358" s="208"/>
      <c r="CK358" s="208"/>
      <c r="CL358" s="254"/>
      <c r="CM358" s="209"/>
      <c r="CN358" s="254"/>
      <c r="CO358" s="28"/>
      <c r="CP358" s="28"/>
      <c r="CQ358" s="28"/>
      <c r="CR358" s="28"/>
      <c r="CS358" s="28"/>
      <c r="CT358" s="28"/>
      <c r="CU358" s="28"/>
      <c r="CV358" s="28"/>
    </row>
    <row r="359" spans="1:100" ht="12" customHeight="1" x14ac:dyDescent="0.2">
      <c r="A359" s="14" t="s">
        <v>28</v>
      </c>
      <c r="B359" s="102">
        <f>'Data Input'!B16</f>
        <v>0.9</v>
      </c>
      <c r="C359" s="14" t="s">
        <v>29</v>
      </c>
      <c r="D359" s="99"/>
      <c r="E359" s="98"/>
      <c r="F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38"/>
      <c r="AL359" s="28"/>
      <c r="AM359" s="108"/>
      <c r="AN359" s="260"/>
      <c r="AO359" s="102"/>
      <c r="AP359" s="120"/>
      <c r="AQ359" s="120"/>
      <c r="AR359" s="119"/>
      <c r="AS359" s="123"/>
      <c r="AT359" s="123"/>
      <c r="AU359" s="124"/>
      <c r="AV359" s="124"/>
      <c r="AW359" s="108"/>
      <c r="AX359" s="102"/>
      <c r="AY359" s="102"/>
      <c r="AZ359" s="119"/>
      <c r="BA359" s="123"/>
      <c r="BB359" s="123"/>
      <c r="BC359" s="108"/>
      <c r="BD359" s="108"/>
      <c r="BE359" s="260"/>
      <c r="BF359" s="102"/>
      <c r="BG359" s="120"/>
      <c r="BH359" s="102"/>
      <c r="BI359" s="261"/>
      <c r="BJ359" s="119"/>
      <c r="BK359" s="261"/>
      <c r="BL359" s="102"/>
      <c r="BM359" s="119"/>
      <c r="BN359" s="123"/>
      <c r="BO359" s="123"/>
      <c r="BP359" s="123"/>
      <c r="BQ359" s="108"/>
      <c r="BR359" s="108"/>
      <c r="BS359" s="124"/>
      <c r="BT359" s="108"/>
      <c r="BU359" s="260"/>
      <c r="BV359" s="102"/>
      <c r="BW359" s="120"/>
      <c r="BX359" s="120"/>
      <c r="BY359" s="254"/>
      <c r="BZ359" s="254"/>
      <c r="CA359" s="253"/>
      <c r="CB359" s="256"/>
      <c r="CC359" s="256"/>
      <c r="CD359" s="257"/>
      <c r="CE359" s="255"/>
      <c r="CF359" s="255"/>
      <c r="CG359" s="126"/>
      <c r="CH359" s="209"/>
      <c r="CI359" s="256"/>
      <c r="CJ359" s="208"/>
      <c r="CK359" s="208"/>
      <c r="CL359" s="254"/>
      <c r="CM359" s="209"/>
      <c r="CN359" s="254"/>
      <c r="CO359" s="28"/>
      <c r="CP359" s="28"/>
      <c r="CQ359" s="28"/>
      <c r="CR359" s="28"/>
      <c r="CS359" s="28"/>
      <c r="CT359" s="28"/>
      <c r="CU359" s="28"/>
      <c r="CV359" s="28"/>
    </row>
    <row r="360" spans="1:100" ht="12" customHeight="1" x14ac:dyDescent="0.2">
      <c r="A360" s="36" t="s">
        <v>31</v>
      </c>
      <c r="B360" s="27">
        <f>'Data Input'!B17</f>
        <v>1.6</v>
      </c>
      <c r="C360" s="14"/>
      <c r="D360" s="99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38"/>
      <c r="AL360" s="28"/>
      <c r="AM360" s="108"/>
      <c r="AN360" s="260"/>
      <c r="AO360" s="102"/>
      <c r="AP360" s="120"/>
      <c r="AQ360" s="120"/>
      <c r="AR360" s="119"/>
      <c r="AS360" s="123"/>
      <c r="AT360" s="123"/>
      <c r="AU360" s="124"/>
      <c r="AV360" s="124"/>
      <c r="AW360" s="108"/>
      <c r="AX360" s="102"/>
      <c r="AY360" s="102"/>
      <c r="AZ360" s="119"/>
      <c r="BA360" s="123"/>
      <c r="BB360" s="123"/>
      <c r="BC360" s="108"/>
      <c r="BD360" s="108"/>
      <c r="BE360" s="260"/>
      <c r="BF360" s="102"/>
      <c r="BG360" s="120"/>
      <c r="BH360" s="102"/>
      <c r="BI360" s="261"/>
      <c r="BJ360" s="119"/>
      <c r="BK360" s="261"/>
      <c r="BL360" s="102"/>
      <c r="BM360" s="119"/>
      <c r="BN360" s="123"/>
      <c r="BO360" s="123"/>
      <c r="BP360" s="123"/>
      <c r="BQ360" s="108"/>
      <c r="BR360" s="108"/>
      <c r="BS360" s="124"/>
      <c r="BT360" s="108"/>
      <c r="BU360" s="260"/>
      <c r="BV360" s="102"/>
      <c r="BW360" s="120"/>
      <c r="BX360" s="120"/>
      <c r="BY360" s="254"/>
      <c r="BZ360" s="254"/>
      <c r="CA360" s="253"/>
      <c r="CB360" s="256"/>
      <c r="CC360" s="256"/>
      <c r="CD360" s="257"/>
      <c r="CE360" s="255"/>
      <c r="CF360" s="255"/>
      <c r="CG360" s="126"/>
      <c r="CH360" s="209"/>
      <c r="CI360" s="256"/>
      <c r="CJ360" s="208"/>
      <c r="CK360" s="208"/>
      <c r="CL360" s="254"/>
      <c r="CM360" s="209"/>
      <c r="CN360" s="254"/>
      <c r="CO360" s="28"/>
      <c r="CP360" s="28"/>
      <c r="CQ360" s="28"/>
      <c r="CR360" s="28"/>
      <c r="CS360" s="28"/>
      <c r="CT360" s="28"/>
      <c r="CU360" s="28"/>
      <c r="CV360" s="28"/>
    </row>
    <row r="361" spans="1:100" ht="12" customHeight="1" x14ac:dyDescent="0.2">
      <c r="A361" s="14"/>
      <c r="B361" s="102"/>
      <c r="C361" s="14"/>
      <c r="D361" s="99"/>
      <c r="E361" s="98"/>
      <c r="F361" s="1"/>
      <c r="G361" s="99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38"/>
      <c r="AL361" s="28"/>
      <c r="AM361" s="108"/>
      <c r="AN361" s="260"/>
      <c r="AO361" s="102"/>
      <c r="AP361" s="120"/>
      <c r="AQ361" s="120"/>
      <c r="AR361" s="119"/>
      <c r="AS361" s="123"/>
      <c r="AT361" s="123"/>
      <c r="AU361" s="124"/>
      <c r="AV361" s="124"/>
      <c r="AW361" s="108"/>
      <c r="AX361" s="102"/>
      <c r="AY361" s="102"/>
      <c r="AZ361" s="119"/>
      <c r="BA361" s="123"/>
      <c r="BB361" s="123"/>
      <c r="BC361" s="108"/>
      <c r="BD361" s="108"/>
      <c r="BE361" s="260"/>
      <c r="BF361" s="102"/>
      <c r="BG361" s="120"/>
      <c r="BH361" s="102"/>
      <c r="BI361" s="261"/>
      <c r="BJ361" s="119"/>
      <c r="BK361" s="261"/>
      <c r="BL361" s="102"/>
      <c r="BM361" s="119"/>
      <c r="BN361" s="123"/>
      <c r="BO361" s="123"/>
      <c r="BP361" s="123"/>
      <c r="BQ361" s="108"/>
      <c r="BR361" s="108"/>
      <c r="BS361" s="124"/>
      <c r="BT361" s="108"/>
      <c r="BU361" s="260"/>
      <c r="BV361" s="102"/>
      <c r="BW361" s="120"/>
      <c r="BX361" s="120"/>
      <c r="BY361" s="254"/>
      <c r="BZ361" s="254"/>
      <c r="CA361" s="253"/>
      <c r="CB361" s="256"/>
      <c r="CC361" s="256"/>
      <c r="CD361" s="257"/>
      <c r="CE361" s="255"/>
      <c r="CF361" s="255"/>
      <c r="CG361" s="126"/>
      <c r="CH361" s="209"/>
      <c r="CI361" s="256"/>
      <c r="CJ361" s="208"/>
      <c r="CK361" s="208"/>
      <c r="CL361" s="254"/>
      <c r="CM361" s="209"/>
      <c r="CN361" s="254"/>
      <c r="CO361" s="28"/>
      <c r="CP361" s="28"/>
      <c r="CQ361" s="28"/>
      <c r="CR361" s="28"/>
      <c r="CS361" s="28"/>
      <c r="CT361" s="28"/>
      <c r="CU361" s="28"/>
      <c r="CV361" s="28"/>
    </row>
    <row r="362" spans="1:100" ht="12" customHeight="1" x14ac:dyDescent="0.2">
      <c r="A362" s="36" t="s">
        <v>333</v>
      </c>
      <c r="B362" s="1">
        <f>'Data Input'!B40</f>
        <v>26</v>
      </c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38"/>
      <c r="AL362" s="28"/>
      <c r="AM362" s="108"/>
      <c r="AN362" s="260"/>
      <c r="AO362" s="102"/>
      <c r="AP362" s="120"/>
      <c r="AQ362" s="120"/>
      <c r="AR362" s="119"/>
      <c r="AS362" s="123"/>
      <c r="AT362" s="123"/>
      <c r="AU362" s="124"/>
      <c r="AV362" s="124"/>
      <c r="AW362" s="108"/>
      <c r="AX362" s="102"/>
      <c r="AY362" s="102"/>
      <c r="AZ362" s="119"/>
      <c r="BA362" s="123"/>
      <c r="BB362" s="123"/>
      <c r="BC362" s="108"/>
      <c r="BD362" s="108"/>
      <c r="BE362" s="260"/>
      <c r="BF362" s="102"/>
      <c r="BG362" s="120"/>
      <c r="BH362" s="102"/>
      <c r="BI362" s="261"/>
      <c r="BJ362" s="119"/>
      <c r="BK362" s="261"/>
      <c r="BL362" s="102"/>
      <c r="BM362" s="119"/>
      <c r="BN362" s="123"/>
      <c r="BO362" s="123"/>
      <c r="BP362" s="123"/>
      <c r="BQ362" s="108"/>
      <c r="BR362" s="108"/>
      <c r="BS362" s="124"/>
      <c r="BT362" s="108"/>
      <c r="BU362" s="260"/>
      <c r="BV362" s="102"/>
      <c r="BW362" s="120"/>
      <c r="BX362" s="120"/>
      <c r="BY362" s="254"/>
      <c r="BZ362" s="254"/>
      <c r="CA362" s="253"/>
      <c r="CB362" s="256"/>
      <c r="CC362" s="256"/>
      <c r="CD362" s="257"/>
      <c r="CE362" s="255"/>
      <c r="CF362" s="255"/>
      <c r="CG362" s="126"/>
      <c r="CH362" s="209"/>
      <c r="CI362" s="256"/>
      <c r="CJ362" s="208"/>
      <c r="CK362" s="208"/>
      <c r="CL362" s="254"/>
      <c r="CM362" s="209"/>
      <c r="CN362" s="254"/>
      <c r="CO362" s="28"/>
      <c r="CP362" s="28"/>
      <c r="CQ362" s="28"/>
      <c r="CR362" s="28"/>
      <c r="CS362" s="28"/>
      <c r="CT362" s="28"/>
      <c r="CU362" s="28"/>
      <c r="CV362" s="28"/>
    </row>
    <row r="363" spans="1:100" ht="12" customHeight="1" x14ac:dyDescent="0.2">
      <c r="A363" s="36" t="s">
        <v>334</v>
      </c>
      <c r="B363" s="1">
        <f>'Data Input'!B42</f>
        <v>5</v>
      </c>
      <c r="C363" s="1"/>
      <c r="D363" s="1"/>
      <c r="E363" s="1" t="s">
        <v>335</v>
      </c>
      <c r="F363" s="1"/>
      <c r="H363" s="37">
        <f>(B367^2*PI()/4)</f>
        <v>73.747641589949126</v>
      </c>
      <c r="I363" s="1" t="s">
        <v>336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38"/>
      <c r="AL363" s="28"/>
      <c r="AM363" s="108"/>
      <c r="AN363" s="260"/>
      <c r="AO363" s="102"/>
      <c r="AP363" s="120"/>
      <c r="AQ363" s="120"/>
      <c r="AR363" s="119"/>
      <c r="AS363" s="123"/>
      <c r="AT363" s="123"/>
      <c r="AU363" s="124"/>
      <c r="AV363" s="124"/>
      <c r="AW363" s="108"/>
      <c r="AX363" s="102"/>
      <c r="AY363" s="102"/>
      <c r="AZ363" s="119"/>
      <c r="BA363" s="123"/>
      <c r="BB363" s="123"/>
      <c r="BC363" s="108"/>
      <c r="BD363" s="108"/>
      <c r="BE363" s="260"/>
      <c r="BF363" s="102"/>
      <c r="BG363" s="120"/>
      <c r="BH363" s="102"/>
      <c r="BI363" s="261"/>
      <c r="BJ363" s="119"/>
      <c r="BK363" s="261"/>
      <c r="BL363" s="102"/>
      <c r="BM363" s="119"/>
      <c r="BN363" s="123"/>
      <c r="BO363" s="123"/>
      <c r="BP363" s="123"/>
      <c r="BQ363" s="108"/>
      <c r="BR363" s="108"/>
      <c r="BS363" s="124"/>
      <c r="BT363" s="108"/>
      <c r="BU363" s="260"/>
      <c r="BV363" s="102"/>
      <c r="BW363" s="120"/>
      <c r="BX363" s="120"/>
      <c r="BY363" s="254"/>
      <c r="BZ363" s="254"/>
      <c r="CA363" s="253"/>
      <c r="CB363" s="256"/>
      <c r="CC363" s="256"/>
      <c r="CD363" s="257"/>
      <c r="CE363" s="255"/>
      <c r="CF363" s="255"/>
      <c r="CG363" s="126"/>
      <c r="CH363" s="209"/>
      <c r="CI363" s="256"/>
      <c r="CJ363" s="208"/>
      <c r="CK363" s="208"/>
      <c r="CL363" s="254"/>
      <c r="CM363" s="209"/>
      <c r="CN363" s="254"/>
      <c r="CO363" s="28"/>
      <c r="CP363" s="28"/>
      <c r="CQ363" s="28"/>
      <c r="CR363" s="28"/>
      <c r="CS363" s="28"/>
      <c r="CT363" s="28"/>
      <c r="CU363" s="28"/>
      <c r="CV363" s="28"/>
    </row>
    <row r="364" spans="1:100" ht="12" customHeight="1" x14ac:dyDescent="0.2">
      <c r="A364" s="36" t="s">
        <v>68</v>
      </c>
      <c r="B364" s="1">
        <f>'Data Input'!B43</f>
        <v>1</v>
      </c>
      <c r="C364" s="1"/>
      <c r="D364" s="1"/>
      <c r="E364" s="1" t="s">
        <v>337</v>
      </c>
      <c r="F364" s="1"/>
      <c r="H364" s="37">
        <f>(B365^2*PI()/4-B366^2*PI()/4*2*B364)</f>
        <v>180.71012851541514</v>
      </c>
      <c r="I364" s="1" t="s">
        <v>336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38"/>
      <c r="AL364" s="28"/>
      <c r="AM364" s="108"/>
      <c r="AN364" s="260"/>
      <c r="AO364" s="102"/>
      <c r="AP364" s="120"/>
      <c r="AQ364" s="120"/>
      <c r="AR364" s="119"/>
      <c r="AS364" s="123"/>
      <c r="AT364" s="123"/>
      <c r="AU364" s="124"/>
      <c r="AV364" s="124"/>
      <c r="AW364" s="108"/>
      <c r="AX364" s="102"/>
      <c r="AY364" s="102"/>
      <c r="AZ364" s="119"/>
      <c r="BA364" s="123"/>
      <c r="BB364" s="123"/>
      <c r="BC364" s="108"/>
      <c r="BD364" s="108"/>
      <c r="BE364" s="260"/>
      <c r="BF364" s="102"/>
      <c r="BG364" s="120"/>
      <c r="BH364" s="102"/>
      <c r="BI364" s="261"/>
      <c r="BJ364" s="119"/>
      <c r="BK364" s="261"/>
      <c r="BL364" s="102"/>
      <c r="BM364" s="119"/>
      <c r="BN364" s="123"/>
      <c r="BO364" s="123"/>
      <c r="BP364" s="123"/>
      <c r="BQ364" s="108"/>
      <c r="BR364" s="108"/>
      <c r="BS364" s="124"/>
      <c r="BT364" s="108"/>
      <c r="BU364" s="260"/>
      <c r="BV364" s="102"/>
      <c r="BW364" s="120"/>
      <c r="BX364" s="120"/>
      <c r="BY364" s="254"/>
      <c r="BZ364" s="254"/>
      <c r="CA364" s="253"/>
      <c r="CB364" s="256"/>
      <c r="CC364" s="256"/>
      <c r="CD364" s="257"/>
      <c r="CE364" s="255"/>
      <c r="CF364" s="255"/>
      <c r="CG364" s="126"/>
      <c r="CH364" s="209"/>
      <c r="CI364" s="256"/>
      <c r="CJ364" s="208"/>
      <c r="CK364" s="208"/>
      <c r="CL364" s="254"/>
      <c r="CM364" s="209"/>
      <c r="CN364" s="254"/>
      <c r="CO364" s="28"/>
      <c r="CP364" s="28"/>
      <c r="CQ364" s="28"/>
      <c r="CR364" s="28"/>
      <c r="CS364" s="28"/>
      <c r="CT364" s="28"/>
      <c r="CU364" s="28"/>
      <c r="CV364" s="28"/>
    </row>
    <row r="365" spans="1:100" ht="12" customHeight="1" x14ac:dyDescent="0.2">
      <c r="A365" s="36" t="s">
        <v>338</v>
      </c>
      <c r="B365" s="99">
        <f>'Data Input'!B41</f>
        <v>17.627599999999997</v>
      </c>
      <c r="C365" s="1" t="s">
        <v>56</v>
      </c>
      <c r="D365" s="1"/>
      <c r="E365" s="9" t="s">
        <v>339</v>
      </c>
      <c r="H365" s="27">
        <f>H364*4/((B365+B366*2*B364)*PI())</f>
        <v>7.5867289782244534</v>
      </c>
      <c r="I365" s="9" t="s">
        <v>56</v>
      </c>
      <c r="J365" s="37" t="s">
        <v>340</v>
      </c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38"/>
      <c r="AL365" s="28"/>
      <c r="AM365" s="108"/>
      <c r="AN365" s="260"/>
      <c r="AO365" s="102"/>
      <c r="AP365" s="120"/>
      <c r="AQ365" s="120"/>
      <c r="AR365" s="119"/>
      <c r="AS365" s="123"/>
      <c r="AT365" s="123"/>
      <c r="AU365" s="124"/>
      <c r="AV365" s="124"/>
      <c r="AW365" s="108"/>
      <c r="AX365" s="102"/>
      <c r="AY365" s="102"/>
      <c r="AZ365" s="119"/>
      <c r="BA365" s="123"/>
      <c r="BB365" s="123"/>
      <c r="BC365" s="108"/>
      <c r="BD365" s="108"/>
      <c r="BE365" s="260"/>
      <c r="BF365" s="102"/>
      <c r="BG365" s="120"/>
      <c r="BH365" s="102"/>
      <c r="BI365" s="261"/>
      <c r="BJ365" s="119"/>
      <c r="BK365" s="261"/>
      <c r="BL365" s="102"/>
      <c r="BM365" s="119"/>
      <c r="BN365" s="123"/>
      <c r="BO365" s="123"/>
      <c r="BP365" s="123"/>
      <c r="BQ365" s="108"/>
      <c r="BR365" s="108"/>
      <c r="BS365" s="124"/>
      <c r="BT365" s="108"/>
      <c r="BU365" s="260"/>
      <c r="BV365" s="102"/>
      <c r="BW365" s="120"/>
      <c r="BX365" s="120"/>
      <c r="BY365" s="254"/>
      <c r="BZ365" s="254"/>
      <c r="CA365" s="253"/>
      <c r="CB365" s="256"/>
      <c r="CC365" s="256"/>
      <c r="CD365" s="257"/>
      <c r="CE365" s="255"/>
      <c r="CF365" s="255"/>
      <c r="CG365" s="126"/>
      <c r="CH365" s="209"/>
      <c r="CI365" s="256"/>
      <c r="CJ365" s="208"/>
      <c r="CK365" s="208"/>
      <c r="CL365" s="254"/>
      <c r="CM365" s="209"/>
      <c r="CN365" s="254"/>
      <c r="CO365" s="28"/>
      <c r="CP365" s="28"/>
      <c r="CQ365" s="28"/>
      <c r="CR365" s="28"/>
      <c r="CS365" s="28"/>
      <c r="CT365" s="28"/>
      <c r="CU365" s="28"/>
      <c r="CV365" s="28"/>
    </row>
    <row r="366" spans="1:100" ht="12" customHeight="1" x14ac:dyDescent="0.2">
      <c r="A366" s="36" t="s">
        <v>341</v>
      </c>
      <c r="B366" s="1">
        <f>'Data Input'!B44</f>
        <v>6.35</v>
      </c>
      <c r="C366" s="1" t="s">
        <v>56</v>
      </c>
      <c r="D366" s="1"/>
      <c r="E366" s="1" t="s">
        <v>342</v>
      </c>
      <c r="F366" s="1"/>
      <c r="H366" s="12">
        <f>H363*B362+H364*B363</f>
        <v>2820.9893239157527</v>
      </c>
      <c r="I366" s="1" t="s">
        <v>336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38"/>
      <c r="AL366" s="28"/>
      <c r="AM366" s="108"/>
      <c r="AN366" s="260"/>
      <c r="AO366" s="102"/>
      <c r="AP366" s="120"/>
      <c r="AQ366" s="120"/>
      <c r="AR366" s="119"/>
      <c r="AS366" s="123"/>
      <c r="AT366" s="123"/>
      <c r="AU366" s="124"/>
      <c r="AV366" s="124"/>
      <c r="AW366" s="108"/>
      <c r="AX366" s="102"/>
      <c r="AY366" s="102"/>
      <c r="AZ366" s="119"/>
      <c r="BA366" s="123"/>
      <c r="BB366" s="123"/>
      <c r="BC366" s="108"/>
      <c r="BD366" s="108"/>
      <c r="BE366" s="260"/>
      <c r="BF366" s="102"/>
      <c r="BG366" s="120"/>
      <c r="BH366" s="102"/>
      <c r="BI366" s="261"/>
      <c r="BJ366" s="119"/>
      <c r="BK366" s="261"/>
      <c r="BL366" s="102"/>
      <c r="BM366" s="119"/>
      <c r="BN366" s="123"/>
      <c r="BO366" s="123"/>
      <c r="BP366" s="123"/>
      <c r="BQ366" s="108"/>
      <c r="BR366" s="108"/>
      <c r="BS366" s="124"/>
      <c r="BT366" s="108"/>
      <c r="BU366" s="260"/>
      <c r="BV366" s="102"/>
      <c r="BW366" s="120"/>
      <c r="BX366" s="120"/>
      <c r="BY366" s="254"/>
      <c r="BZ366" s="254"/>
      <c r="CA366" s="253"/>
      <c r="CB366" s="256"/>
      <c r="CC366" s="256"/>
      <c r="CD366" s="257"/>
      <c r="CE366" s="255"/>
      <c r="CF366" s="255"/>
      <c r="CG366" s="126"/>
      <c r="CH366" s="209"/>
      <c r="CI366" s="256"/>
      <c r="CJ366" s="208"/>
      <c r="CK366" s="208"/>
      <c r="CL366" s="254"/>
      <c r="CM366" s="209"/>
      <c r="CN366" s="254"/>
      <c r="CO366" s="28"/>
      <c r="CP366" s="28"/>
      <c r="CQ366" s="28"/>
      <c r="CR366" s="28"/>
      <c r="CS366" s="28"/>
      <c r="CT366" s="28"/>
      <c r="CU366" s="28"/>
      <c r="CV366" s="28"/>
    </row>
    <row r="367" spans="1:100" ht="12" customHeight="1" x14ac:dyDescent="0.2">
      <c r="A367" s="36" t="s">
        <v>343</v>
      </c>
      <c r="B367" s="26">
        <f>'Data Input'!B39</f>
        <v>9.6901193802387589</v>
      </c>
      <c r="C367" s="1" t="s">
        <v>56</v>
      </c>
      <c r="D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38"/>
      <c r="AL367" s="28"/>
      <c r="AM367" s="108"/>
      <c r="AN367" s="260"/>
      <c r="AO367" s="102"/>
      <c r="AP367" s="120"/>
      <c r="AQ367" s="120"/>
      <c r="AR367" s="119"/>
      <c r="AS367" s="123"/>
      <c r="AT367" s="123"/>
      <c r="AU367" s="124"/>
      <c r="AV367" s="124"/>
      <c r="AW367" s="108"/>
      <c r="AX367" s="102"/>
      <c r="AY367" s="102"/>
      <c r="AZ367" s="119"/>
      <c r="BA367" s="123"/>
      <c r="BB367" s="123"/>
      <c r="BC367" s="108"/>
      <c r="BD367" s="108"/>
      <c r="BE367" s="260"/>
      <c r="BF367" s="102"/>
      <c r="BG367" s="120"/>
      <c r="BH367" s="102"/>
      <c r="BI367" s="261"/>
      <c r="BJ367" s="119"/>
      <c r="BK367" s="261"/>
      <c r="BL367" s="102"/>
      <c r="BM367" s="119"/>
      <c r="BN367" s="123"/>
      <c r="BO367" s="123"/>
      <c r="BP367" s="123"/>
      <c r="BQ367" s="108"/>
      <c r="BR367" s="108"/>
      <c r="BS367" s="124"/>
      <c r="BT367" s="108"/>
      <c r="BU367" s="260"/>
      <c r="BV367" s="102"/>
      <c r="BW367" s="120"/>
      <c r="BX367" s="120"/>
      <c r="BY367" s="254"/>
      <c r="BZ367" s="254"/>
      <c r="CA367" s="253"/>
      <c r="CB367" s="256"/>
      <c r="CC367" s="256"/>
      <c r="CD367" s="257"/>
      <c r="CE367" s="255"/>
      <c r="CF367" s="255"/>
      <c r="CG367" s="126"/>
      <c r="CH367" s="209"/>
      <c r="CI367" s="256"/>
      <c r="CJ367" s="208"/>
      <c r="CK367" s="208"/>
      <c r="CL367" s="254"/>
      <c r="CM367" s="209"/>
      <c r="CN367" s="254"/>
      <c r="CO367" s="28"/>
      <c r="CP367" s="28"/>
      <c r="CQ367" s="28"/>
      <c r="CR367" s="28"/>
      <c r="CS367" s="28"/>
      <c r="CT367" s="28"/>
      <c r="CU367" s="28"/>
      <c r="CV367" s="28"/>
    </row>
    <row r="368" spans="1:100" ht="12" customHeight="1" x14ac:dyDescent="0.2">
      <c r="A368" s="36" t="s">
        <v>344</v>
      </c>
      <c r="B368" s="26">
        <f>'Data Input'!B38</f>
        <v>0.30322580645161296</v>
      </c>
      <c r="C368" s="1" t="s">
        <v>61</v>
      </c>
      <c r="D368" s="1"/>
      <c r="E368" s="1" t="s">
        <v>345</v>
      </c>
      <c r="H368" s="130">
        <f>1-EXP(-B359*B367/1000)</f>
        <v>8.6831888953438074E-3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38"/>
      <c r="AL368" s="28"/>
      <c r="AM368" s="108"/>
      <c r="AN368" s="260"/>
      <c r="AO368" s="102"/>
      <c r="AP368" s="120"/>
      <c r="AQ368" s="120"/>
      <c r="AR368" s="119"/>
      <c r="AS368" s="123"/>
      <c r="AT368" s="123"/>
      <c r="AU368" s="124"/>
      <c r="AV368" s="124"/>
      <c r="AW368" s="108"/>
      <c r="AX368" s="102"/>
      <c r="AY368" s="102"/>
      <c r="AZ368" s="119"/>
      <c r="BA368" s="123"/>
      <c r="BB368" s="123"/>
      <c r="BC368" s="108"/>
      <c r="BD368" s="108"/>
      <c r="BE368" s="260"/>
      <c r="BF368" s="102"/>
      <c r="BG368" s="120"/>
      <c r="BH368" s="102"/>
      <c r="BI368" s="261"/>
      <c r="BJ368" s="119"/>
      <c r="BK368" s="261"/>
      <c r="BL368" s="102"/>
      <c r="BM368" s="119"/>
      <c r="BN368" s="123"/>
      <c r="BO368" s="123"/>
      <c r="BP368" s="123"/>
      <c r="BQ368" s="108"/>
      <c r="BR368" s="108"/>
      <c r="BS368" s="124"/>
      <c r="BT368" s="108"/>
      <c r="BU368" s="260"/>
      <c r="BV368" s="102"/>
      <c r="BW368" s="120"/>
      <c r="BX368" s="120"/>
      <c r="BY368" s="254"/>
      <c r="BZ368" s="254"/>
      <c r="CA368" s="253"/>
      <c r="CB368" s="256"/>
      <c r="CC368" s="256"/>
      <c r="CD368" s="257"/>
      <c r="CE368" s="255"/>
      <c r="CF368" s="255"/>
      <c r="CG368" s="126"/>
      <c r="CH368" s="209"/>
      <c r="CI368" s="256"/>
      <c r="CJ368" s="208"/>
      <c r="CK368" s="208"/>
      <c r="CL368" s="254"/>
      <c r="CM368" s="209"/>
      <c r="CN368" s="254"/>
      <c r="CO368" s="28"/>
      <c r="CP368" s="28"/>
      <c r="CQ368" s="28"/>
      <c r="CR368" s="28"/>
      <c r="CS368" s="28"/>
      <c r="CT368" s="28"/>
      <c r="CU368" s="28"/>
      <c r="CV368" s="28"/>
    </row>
    <row r="369" spans="1:100" ht="12" customHeight="1" x14ac:dyDescent="0.2">
      <c r="A369" s="1" t="s">
        <v>74</v>
      </c>
      <c r="B369" s="1">
        <f>'Data Input'!B47</f>
        <v>0.30000000000000004</v>
      </c>
      <c r="C369" s="1" t="s">
        <v>56</v>
      </c>
      <c r="D369" s="1"/>
      <c r="E369" s="1"/>
      <c r="H369" s="130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38"/>
      <c r="AL369" s="28"/>
      <c r="AM369" s="108"/>
      <c r="AN369" s="260"/>
      <c r="AO369" s="102"/>
      <c r="AP369" s="120"/>
      <c r="AQ369" s="120"/>
      <c r="AR369" s="119"/>
      <c r="AS369" s="123"/>
      <c r="AT369" s="123"/>
      <c r="AU369" s="124"/>
      <c r="AV369" s="124"/>
      <c r="AW369" s="108"/>
      <c r="AX369" s="102"/>
      <c r="AY369" s="102"/>
      <c r="AZ369" s="119"/>
      <c r="BA369" s="123"/>
      <c r="BB369" s="123"/>
      <c r="BC369" s="108"/>
      <c r="BD369" s="108"/>
      <c r="BE369" s="260"/>
      <c r="BF369" s="102"/>
      <c r="BG369" s="120"/>
      <c r="BH369" s="102"/>
      <c r="BI369" s="261"/>
      <c r="BJ369" s="119"/>
      <c r="BK369" s="261"/>
      <c r="BL369" s="102"/>
      <c r="BM369" s="119"/>
      <c r="BN369" s="123"/>
      <c r="BO369" s="123"/>
      <c r="BP369" s="123"/>
      <c r="BQ369" s="108"/>
      <c r="BR369" s="108"/>
      <c r="BS369" s="124"/>
      <c r="BT369" s="108"/>
      <c r="BU369" s="260"/>
      <c r="BV369" s="102"/>
      <c r="BW369" s="120"/>
      <c r="BX369" s="120"/>
      <c r="BY369" s="254"/>
      <c r="BZ369" s="254"/>
      <c r="CA369" s="253"/>
      <c r="CB369" s="256"/>
      <c r="CC369" s="256"/>
      <c r="CD369" s="257"/>
      <c r="CE369" s="255"/>
      <c r="CF369" s="255"/>
      <c r="CG369" s="126"/>
      <c r="CH369" s="209"/>
      <c r="CI369" s="256"/>
      <c r="CJ369" s="208"/>
      <c r="CK369" s="208"/>
      <c r="CL369" s="254"/>
      <c r="CM369" s="209"/>
      <c r="CN369" s="254"/>
      <c r="CO369" s="28"/>
      <c r="CP369" s="28"/>
      <c r="CQ369" s="28"/>
      <c r="CR369" s="28"/>
      <c r="CS369" s="28"/>
      <c r="CT369" s="28"/>
      <c r="CU369" s="28"/>
      <c r="CV369" s="28"/>
    </row>
    <row r="370" spans="1:100" ht="12" customHeight="1" x14ac:dyDescent="0.2">
      <c r="A370" s="36"/>
      <c r="B370" s="26"/>
      <c r="C370" s="1"/>
      <c r="D370" s="1"/>
      <c r="E370" s="1"/>
      <c r="H370" s="130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38"/>
      <c r="AL370" s="28"/>
      <c r="AM370" s="108"/>
      <c r="AN370" s="260"/>
      <c r="AO370" s="102"/>
      <c r="AP370" s="120"/>
      <c r="AQ370" s="120"/>
      <c r="AR370" s="119"/>
      <c r="AS370" s="123"/>
      <c r="AT370" s="123"/>
      <c r="AU370" s="124"/>
      <c r="AV370" s="124"/>
      <c r="AW370" s="108"/>
      <c r="AX370" s="102"/>
      <c r="AY370" s="102"/>
      <c r="AZ370" s="119"/>
      <c r="BA370" s="123"/>
      <c r="BB370" s="123"/>
      <c r="BC370" s="108"/>
      <c r="BD370" s="108"/>
      <c r="BE370" s="260"/>
      <c r="BF370" s="102"/>
      <c r="BG370" s="120"/>
      <c r="BH370" s="102"/>
      <c r="BI370" s="261"/>
      <c r="BJ370" s="119"/>
      <c r="BK370" s="261"/>
      <c r="BL370" s="102"/>
      <c r="BM370" s="119"/>
      <c r="BN370" s="123"/>
      <c r="BO370" s="123"/>
      <c r="BP370" s="123"/>
      <c r="BQ370" s="108"/>
      <c r="BR370" s="108"/>
      <c r="BS370" s="124"/>
      <c r="BT370" s="108"/>
      <c r="BU370" s="260"/>
      <c r="BV370" s="102"/>
      <c r="BW370" s="120"/>
      <c r="BX370" s="120"/>
      <c r="BY370" s="254"/>
      <c r="BZ370" s="254"/>
      <c r="CA370" s="253"/>
      <c r="CB370" s="256"/>
      <c r="CC370" s="256"/>
      <c r="CD370" s="257"/>
      <c r="CE370" s="255"/>
      <c r="CF370" s="255"/>
      <c r="CG370" s="126"/>
      <c r="CH370" s="209"/>
      <c r="CI370" s="256"/>
      <c r="CJ370" s="208"/>
      <c r="CK370" s="208"/>
      <c r="CL370" s="254"/>
      <c r="CM370" s="209"/>
      <c r="CN370" s="254"/>
      <c r="CO370" s="28"/>
      <c r="CP370" s="28"/>
      <c r="CQ370" s="28"/>
      <c r="CR370" s="28"/>
      <c r="CS370" s="28"/>
      <c r="CT370" s="28"/>
      <c r="CU370" s="28"/>
      <c r="CV370" s="28"/>
    </row>
    <row r="371" spans="1:100" ht="12" customHeight="1" x14ac:dyDescent="0.2">
      <c r="A371" s="1" t="s">
        <v>357</v>
      </c>
      <c r="B371" s="1"/>
      <c r="D371" s="31">
        <f>(B355-C346*B363)/B362</f>
        <v>1.9634593588673457E-4</v>
      </c>
      <c r="E371" s="89" t="s">
        <v>327</v>
      </c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38"/>
      <c r="AL371" s="28"/>
      <c r="AM371" s="108"/>
      <c r="AN371" s="260"/>
      <c r="AO371" s="102"/>
      <c r="AP371" s="120"/>
      <c r="AQ371" s="120"/>
      <c r="AR371" s="119"/>
      <c r="AS371" s="123"/>
      <c r="AT371" s="123"/>
      <c r="AU371" s="124"/>
      <c r="AV371" s="124"/>
      <c r="AW371" s="108"/>
      <c r="AX371" s="102"/>
      <c r="AY371" s="102"/>
      <c r="AZ371" s="119"/>
      <c r="BA371" s="123"/>
      <c r="BB371" s="123"/>
      <c r="BC371" s="108"/>
      <c r="BD371" s="108"/>
      <c r="BE371" s="260"/>
      <c r="BF371" s="102"/>
      <c r="BG371" s="120"/>
      <c r="BH371" s="102"/>
      <c r="BI371" s="261"/>
      <c r="BJ371" s="119"/>
      <c r="BK371" s="261"/>
      <c r="BL371" s="102"/>
      <c r="BM371" s="119"/>
      <c r="BN371" s="123"/>
      <c r="BO371" s="123"/>
      <c r="BP371" s="123"/>
      <c r="BQ371" s="108"/>
      <c r="BR371" s="108"/>
      <c r="BS371" s="124"/>
      <c r="BT371" s="108"/>
      <c r="BU371" s="260"/>
      <c r="BV371" s="102"/>
      <c r="BW371" s="120"/>
      <c r="BX371" s="120"/>
      <c r="BY371" s="254"/>
      <c r="BZ371" s="254"/>
      <c r="CA371" s="253"/>
      <c r="CB371" s="256"/>
      <c r="CC371" s="256"/>
      <c r="CD371" s="257"/>
      <c r="CE371" s="255"/>
      <c r="CF371" s="255"/>
      <c r="CG371" s="126"/>
      <c r="CH371" s="209"/>
      <c r="CI371" s="256"/>
      <c r="CJ371" s="208"/>
      <c r="CK371" s="208"/>
      <c r="CL371" s="254"/>
      <c r="CM371" s="209"/>
      <c r="CN371" s="254"/>
      <c r="CO371" s="28"/>
      <c r="CP371" s="28"/>
      <c r="CQ371" s="28"/>
      <c r="CR371" s="28"/>
      <c r="CS371" s="28"/>
      <c r="CT371" s="28"/>
      <c r="CU371" s="28"/>
      <c r="CV371" s="28"/>
    </row>
    <row r="372" spans="1:100" ht="12" customHeight="1" x14ac:dyDescent="0.25">
      <c r="A372"/>
      <c r="B372"/>
      <c r="C372"/>
      <c r="D372"/>
      <c r="E372"/>
      <c r="F372" s="1"/>
      <c r="G372" s="129"/>
      <c r="H372" s="1"/>
      <c r="I372" s="13"/>
      <c r="J372" s="1"/>
      <c r="K372" s="1"/>
      <c r="L372" s="1"/>
      <c r="M372" s="1"/>
      <c r="N372" s="26"/>
      <c r="O372" s="1"/>
      <c r="P372" s="1"/>
      <c r="Q372" s="1"/>
      <c r="R372" s="1"/>
      <c r="S372" s="1"/>
      <c r="T372" s="1"/>
      <c r="U372" s="26"/>
      <c r="V372" s="1"/>
      <c r="W372" s="1"/>
      <c r="X372" s="1"/>
      <c r="Y372" s="1"/>
      <c r="Z372" s="1"/>
      <c r="AA372" s="1"/>
      <c r="AB372" s="26"/>
      <c r="AC372" s="1"/>
      <c r="AD372" s="1"/>
      <c r="AE372" s="1"/>
      <c r="AG372" s="38"/>
      <c r="AL372" s="28"/>
      <c r="AM372" s="108"/>
      <c r="AN372" s="260"/>
      <c r="AO372" s="102"/>
      <c r="AP372" s="120"/>
      <c r="AQ372" s="120"/>
      <c r="AR372" s="119"/>
      <c r="AS372" s="123"/>
      <c r="AT372" s="123"/>
      <c r="AU372" s="124"/>
      <c r="AV372" s="124"/>
      <c r="AW372" s="108"/>
      <c r="AX372" s="102"/>
      <c r="AY372" s="102"/>
      <c r="AZ372" s="119"/>
      <c r="BA372" s="123"/>
      <c r="BB372" s="123"/>
      <c r="BC372" s="108"/>
      <c r="BD372" s="108"/>
      <c r="BE372" s="260"/>
      <c r="BF372" s="102"/>
      <c r="BG372" s="120"/>
      <c r="BH372" s="102"/>
      <c r="BI372" s="261"/>
      <c r="BJ372" s="119"/>
      <c r="BK372" s="261"/>
      <c r="BL372" s="102"/>
      <c r="BM372" s="119"/>
      <c r="BN372" s="123"/>
      <c r="BO372" s="123"/>
      <c r="BP372" s="123"/>
      <c r="BQ372" s="108"/>
      <c r="BR372" s="108"/>
      <c r="BS372" s="124"/>
      <c r="BT372" s="108"/>
      <c r="BU372" s="260"/>
      <c r="BV372" s="102"/>
      <c r="BW372" s="120"/>
      <c r="BX372" s="120"/>
      <c r="BY372" s="254"/>
      <c r="BZ372" s="254"/>
      <c r="CA372" s="253"/>
      <c r="CB372" s="256"/>
      <c r="CC372" s="256"/>
      <c r="CD372" s="257"/>
      <c r="CE372" s="255"/>
      <c r="CF372" s="255"/>
      <c r="CG372" s="126"/>
      <c r="CH372" s="209"/>
      <c r="CI372" s="256"/>
      <c r="CJ372" s="208"/>
      <c r="CK372" s="208"/>
      <c r="CL372" s="254"/>
      <c r="CM372" s="209"/>
      <c r="CN372" s="254"/>
      <c r="CO372" s="28"/>
      <c r="CP372" s="28"/>
      <c r="CQ372" s="28"/>
      <c r="CR372" s="28"/>
      <c r="CS372" s="28"/>
      <c r="CT372" s="28"/>
      <c r="CU372" s="28"/>
      <c r="CV372" s="28"/>
    </row>
    <row r="373" spans="1:100" ht="12" customHeight="1" x14ac:dyDescent="0.2">
      <c r="A373" s="200"/>
      <c r="B373" s="207"/>
      <c r="C373" s="1"/>
      <c r="D373" s="95"/>
      <c r="E373" s="1"/>
      <c r="F373" s="1"/>
      <c r="G373" s="132"/>
      <c r="H373" s="132"/>
      <c r="I373" s="132"/>
      <c r="J373" s="132"/>
      <c r="K373" s="132"/>
      <c r="L373" s="132"/>
      <c r="M373" s="132"/>
      <c r="N373" s="132"/>
      <c r="O373" s="132"/>
      <c r="P373" s="132"/>
      <c r="Q373" s="132"/>
      <c r="R373" s="132"/>
      <c r="S373" s="132"/>
      <c r="T373" s="132"/>
      <c r="U373" s="132"/>
      <c r="V373" s="132" t="s">
        <v>177</v>
      </c>
      <c r="W373" s="131" t="s">
        <v>178</v>
      </c>
      <c r="X373" s="133" t="s">
        <v>180</v>
      </c>
      <c r="Y373" s="134" t="s">
        <v>181</v>
      </c>
      <c r="Z373" s="132" t="s">
        <v>177</v>
      </c>
      <c r="AA373" s="131" t="s">
        <v>178</v>
      </c>
      <c r="AB373" s="133"/>
      <c r="AC373" s="133" t="s">
        <v>361</v>
      </c>
      <c r="AE373" s="1"/>
      <c r="AF373" s="1"/>
      <c r="AG373" s="38"/>
      <c r="AL373" s="28"/>
      <c r="AM373" s="108"/>
      <c r="AN373" s="260"/>
      <c r="AO373" s="102"/>
      <c r="AP373" s="120"/>
      <c r="AQ373" s="120"/>
      <c r="AR373" s="119"/>
      <c r="AS373" s="123"/>
      <c r="AT373" s="123"/>
      <c r="AU373" s="124"/>
      <c r="AV373" s="124"/>
      <c r="AW373" s="108"/>
      <c r="AX373" s="102"/>
      <c r="AY373" s="102"/>
      <c r="AZ373" s="119"/>
      <c r="BA373" s="123"/>
      <c r="BB373" s="123"/>
      <c r="BC373" s="108"/>
      <c r="BD373" s="108"/>
      <c r="BE373" s="260"/>
      <c r="BF373" s="102"/>
      <c r="BG373" s="120"/>
      <c r="BH373" s="102"/>
      <c r="BI373" s="261"/>
      <c r="BJ373" s="119"/>
      <c r="BK373" s="261"/>
      <c r="BL373" s="102"/>
      <c r="BM373" s="119"/>
      <c r="BN373" s="123"/>
      <c r="BO373" s="123"/>
      <c r="BP373" s="123"/>
      <c r="BQ373" s="108"/>
      <c r="BR373" s="108"/>
      <c r="BS373" s="124"/>
      <c r="BT373" s="108"/>
      <c r="BU373" s="260"/>
      <c r="BV373" s="102"/>
      <c r="BW373" s="120"/>
      <c r="BX373" s="120"/>
      <c r="BY373" s="254"/>
      <c r="BZ373" s="254"/>
      <c r="CA373" s="253"/>
      <c r="CB373" s="256"/>
      <c r="CC373" s="256"/>
      <c r="CD373" s="257"/>
      <c r="CE373" s="255"/>
      <c r="CF373" s="255"/>
      <c r="CG373" s="126"/>
      <c r="CH373" s="209"/>
      <c r="CI373" s="256"/>
      <c r="CJ373" s="208"/>
      <c r="CK373" s="208"/>
      <c r="CL373" s="254"/>
      <c r="CM373" s="209"/>
      <c r="CN373" s="254"/>
      <c r="CO373" s="28"/>
      <c r="CP373" s="28"/>
      <c r="CQ373" s="28"/>
      <c r="CR373" s="28"/>
      <c r="CS373" s="28"/>
      <c r="CT373" s="28"/>
      <c r="CU373" s="28"/>
      <c r="CV373" s="28"/>
    </row>
    <row r="374" spans="1:100" ht="12" customHeight="1" x14ac:dyDescent="0.2">
      <c r="A374" s="200" t="s">
        <v>350</v>
      </c>
      <c r="B374" s="112" t="s">
        <v>362</v>
      </c>
      <c r="C374" s="112" t="s">
        <v>194</v>
      </c>
      <c r="D374" s="112" t="s">
        <v>195</v>
      </c>
      <c r="E374" s="112"/>
      <c r="F374" s="112"/>
      <c r="G374" s="133" t="s">
        <v>196</v>
      </c>
      <c r="H374" s="133" t="s">
        <v>197</v>
      </c>
      <c r="I374" s="133"/>
      <c r="J374" s="133"/>
      <c r="K374" s="133" t="s">
        <v>198</v>
      </c>
      <c r="L374" s="133" t="s">
        <v>197</v>
      </c>
      <c r="M374" s="133"/>
      <c r="N374" s="133"/>
      <c r="O374" s="133" t="s">
        <v>199</v>
      </c>
      <c r="P374" s="134"/>
      <c r="Q374" s="133" t="s">
        <v>200</v>
      </c>
      <c r="R374" s="133"/>
      <c r="S374" s="133"/>
      <c r="T374" s="138"/>
      <c r="U374" s="133" t="s">
        <v>205</v>
      </c>
      <c r="V374" s="133" t="s">
        <v>205</v>
      </c>
      <c r="W374" s="137" t="s">
        <v>205</v>
      </c>
      <c r="X374" s="133" t="s">
        <v>196</v>
      </c>
      <c r="Y374" s="134" t="s">
        <v>209</v>
      </c>
      <c r="Z374" s="133" t="s">
        <v>205</v>
      </c>
      <c r="AA374" s="137" t="s">
        <v>205</v>
      </c>
      <c r="AB374" s="133" t="s">
        <v>196</v>
      </c>
      <c r="AC374" s="133" t="s">
        <v>205</v>
      </c>
      <c r="AE374" s="14"/>
      <c r="AF374" s="14"/>
      <c r="AG374" s="106"/>
      <c r="AH374" s="28"/>
      <c r="AI374" s="176"/>
      <c r="AJ374" s="109"/>
      <c r="AK374" s="109"/>
      <c r="AL374" s="28"/>
      <c r="AM374" s="108"/>
      <c r="AN374" s="260"/>
      <c r="AO374" s="102"/>
      <c r="AP374" s="120"/>
      <c r="AQ374" s="120"/>
      <c r="AR374" s="119"/>
      <c r="AS374" s="123"/>
      <c r="AT374" s="123"/>
      <c r="AU374" s="124"/>
      <c r="AV374" s="124"/>
      <c r="AW374" s="108"/>
      <c r="AX374" s="102"/>
      <c r="AY374" s="102"/>
      <c r="AZ374" s="119"/>
      <c r="BA374" s="123"/>
      <c r="BB374" s="123"/>
      <c r="BC374" s="108"/>
      <c r="BD374" s="108"/>
      <c r="BE374" s="260"/>
      <c r="BF374" s="102"/>
      <c r="BG374" s="120"/>
      <c r="BH374" s="102"/>
      <c r="BI374" s="261"/>
      <c r="BJ374" s="119"/>
      <c r="BK374" s="261"/>
      <c r="BL374" s="102"/>
      <c r="BM374" s="119"/>
      <c r="BN374" s="123"/>
      <c r="BO374" s="123"/>
      <c r="BP374" s="123"/>
      <c r="BQ374" s="108"/>
      <c r="BR374" s="108"/>
      <c r="BS374" s="124"/>
      <c r="BT374" s="108"/>
      <c r="BU374" s="260"/>
      <c r="BV374" s="102"/>
      <c r="BW374" s="120"/>
      <c r="BX374" s="120"/>
      <c r="BY374" s="254"/>
      <c r="BZ374" s="254"/>
      <c r="CA374" s="253"/>
      <c r="CB374" s="256"/>
      <c r="CC374" s="256"/>
      <c r="CD374" s="257"/>
      <c r="CE374" s="255"/>
      <c r="CF374" s="255"/>
      <c r="CG374" s="126"/>
      <c r="CH374" s="209"/>
      <c r="CI374" s="256"/>
      <c r="CJ374" s="208"/>
      <c r="CK374" s="208"/>
      <c r="CL374" s="254"/>
      <c r="CM374" s="209"/>
      <c r="CN374" s="254"/>
      <c r="CO374" s="28"/>
      <c r="CP374" s="28"/>
      <c r="CQ374" s="28"/>
      <c r="CR374" s="28"/>
      <c r="CS374" s="28"/>
      <c r="CT374" s="28"/>
      <c r="CU374" s="28"/>
      <c r="CV374" s="28"/>
    </row>
    <row r="375" spans="1:100" ht="12" customHeight="1" x14ac:dyDescent="0.2">
      <c r="A375" s="204" t="s">
        <v>352</v>
      </c>
      <c r="B375" s="112" t="s">
        <v>214</v>
      </c>
      <c r="C375" s="115" t="s">
        <v>243</v>
      </c>
      <c r="D375" s="112" t="s">
        <v>243</v>
      </c>
      <c r="E375" s="115" t="s">
        <v>244</v>
      </c>
      <c r="F375" s="115" t="s">
        <v>245</v>
      </c>
      <c r="G375" s="133" t="s">
        <v>246</v>
      </c>
      <c r="H375" s="133" t="s">
        <v>247</v>
      </c>
      <c r="I375" s="134" t="s">
        <v>248</v>
      </c>
      <c r="J375" s="134" t="s">
        <v>249</v>
      </c>
      <c r="K375" s="133" t="s">
        <v>250</v>
      </c>
      <c r="L375" s="133" t="s">
        <v>250</v>
      </c>
      <c r="M375" s="134" t="s">
        <v>251</v>
      </c>
      <c r="N375" s="134" t="s">
        <v>252</v>
      </c>
      <c r="O375" s="134" t="s">
        <v>253</v>
      </c>
      <c r="P375" s="134" t="s">
        <v>254</v>
      </c>
      <c r="Q375" s="133" t="s">
        <v>255</v>
      </c>
      <c r="R375" s="133" t="s">
        <v>256</v>
      </c>
      <c r="S375" s="133" t="s">
        <v>257</v>
      </c>
      <c r="T375" s="133" t="s">
        <v>257</v>
      </c>
      <c r="U375" s="133" t="s">
        <v>262</v>
      </c>
      <c r="V375" s="134" t="s">
        <v>263</v>
      </c>
      <c r="W375" s="139" t="s">
        <v>263</v>
      </c>
      <c r="X375" s="134" t="s">
        <v>253</v>
      </c>
      <c r="Y375" s="134" t="s">
        <v>47</v>
      </c>
      <c r="Z375" s="134" t="s">
        <v>263</v>
      </c>
      <c r="AA375" s="139" t="s">
        <v>263</v>
      </c>
      <c r="AB375" s="134" t="s">
        <v>253</v>
      </c>
      <c r="AC375" s="133" t="s">
        <v>263</v>
      </c>
      <c r="AD375" s="1" t="s">
        <v>492</v>
      </c>
      <c r="AE375" s="116"/>
      <c r="AF375" s="14"/>
      <c r="AG375" s="117"/>
      <c r="AH375" s="231"/>
      <c r="AI375" s="176"/>
      <c r="AJ375" s="109"/>
      <c r="AK375" s="109"/>
      <c r="AL375" s="28"/>
      <c r="AM375" s="108"/>
      <c r="AN375" s="260"/>
      <c r="AO375" s="102"/>
      <c r="AP375" s="120"/>
      <c r="AQ375" s="120"/>
      <c r="AR375" s="119"/>
      <c r="AS375" s="123"/>
      <c r="AT375" s="123"/>
      <c r="AU375" s="124"/>
      <c r="AV375" s="124"/>
      <c r="AW375" s="108"/>
      <c r="AX375" s="102"/>
      <c r="AY375" s="102"/>
      <c r="AZ375" s="119"/>
      <c r="BA375" s="123"/>
      <c r="BB375" s="123"/>
      <c r="BC375" s="108"/>
      <c r="BD375" s="108"/>
      <c r="BE375" s="260"/>
      <c r="BF375" s="102"/>
      <c r="BG375" s="120"/>
      <c r="BH375" s="102"/>
      <c r="BI375" s="261"/>
      <c r="BJ375" s="119"/>
      <c r="BK375" s="261"/>
      <c r="BL375" s="102"/>
      <c r="BM375" s="119"/>
      <c r="BN375" s="123"/>
      <c r="BO375" s="123"/>
      <c r="BP375" s="123"/>
      <c r="BQ375" s="108"/>
      <c r="BR375" s="108"/>
      <c r="BS375" s="124"/>
      <c r="BT375" s="108"/>
      <c r="BU375" s="260"/>
      <c r="BV375" s="102"/>
      <c r="BW375" s="120"/>
      <c r="BX375" s="120"/>
      <c r="BY375" s="254"/>
      <c r="BZ375" s="254"/>
      <c r="CA375" s="253"/>
      <c r="CB375" s="256"/>
      <c r="CC375" s="256"/>
      <c r="CD375" s="257"/>
      <c r="CE375" s="255"/>
      <c r="CF375" s="255"/>
      <c r="CG375" s="126"/>
      <c r="CH375" s="209"/>
      <c r="CI375" s="256"/>
      <c r="CJ375" s="208"/>
      <c r="CK375" s="208"/>
      <c r="CL375" s="254"/>
      <c r="CM375" s="209"/>
      <c r="CN375" s="254"/>
      <c r="CO375" s="28"/>
      <c r="CP375" s="28"/>
      <c r="CQ375" s="28"/>
      <c r="CR375" s="28"/>
      <c r="CS375" s="28"/>
      <c r="CT375" s="28"/>
      <c r="CU375" s="28"/>
      <c r="CV375" s="28"/>
    </row>
    <row r="376" spans="1:100" ht="12" customHeight="1" x14ac:dyDescent="0.2">
      <c r="A376" s="204" t="s">
        <v>354</v>
      </c>
      <c r="B376" s="112" t="s">
        <v>47</v>
      </c>
      <c r="C376" s="115" t="s">
        <v>61</v>
      </c>
      <c r="D376" s="112" t="s">
        <v>61</v>
      </c>
      <c r="E376" s="115" t="s">
        <v>271</v>
      </c>
      <c r="F376" s="115" t="s">
        <v>272</v>
      </c>
      <c r="G376" s="133" t="s">
        <v>273</v>
      </c>
      <c r="H376" s="134" t="s">
        <v>274</v>
      </c>
      <c r="I376" s="134" t="s">
        <v>275</v>
      </c>
      <c r="J376" s="134" t="s">
        <v>276</v>
      </c>
      <c r="K376" s="133" t="s">
        <v>277</v>
      </c>
      <c r="L376" s="133" t="s">
        <v>277</v>
      </c>
      <c r="M376" s="134" t="s">
        <v>278</v>
      </c>
      <c r="N376" s="134" t="s">
        <v>279</v>
      </c>
      <c r="O376" s="134" t="s">
        <v>280</v>
      </c>
      <c r="P376" s="134" t="s">
        <v>278</v>
      </c>
      <c r="Q376" s="133" t="s">
        <v>281</v>
      </c>
      <c r="R376" s="133" t="s">
        <v>282</v>
      </c>
      <c r="S376" s="133" t="s">
        <v>283</v>
      </c>
      <c r="T376" s="133" t="s">
        <v>260</v>
      </c>
      <c r="U376" s="133" t="s">
        <v>285</v>
      </c>
      <c r="V376" s="134" t="s">
        <v>286</v>
      </c>
      <c r="W376" s="139" t="s">
        <v>286</v>
      </c>
      <c r="X376" s="134" t="s">
        <v>13</v>
      </c>
      <c r="Y376" s="143">
        <f>B356</f>
        <v>1034.2609350901587</v>
      </c>
      <c r="Z376" s="134" t="s">
        <v>286</v>
      </c>
      <c r="AA376" s="139" t="s">
        <v>286</v>
      </c>
      <c r="AB376" s="134" t="s">
        <v>13</v>
      </c>
      <c r="AC376" s="133" t="s">
        <v>286</v>
      </c>
      <c r="AD376" s="14" t="s">
        <v>493</v>
      </c>
      <c r="AE376" s="14" t="s">
        <v>494</v>
      </c>
      <c r="AF376" s="116" t="s">
        <v>495</v>
      </c>
      <c r="AG376" s="117" t="s">
        <v>496</v>
      </c>
      <c r="AH376" s="9" t="s">
        <v>497</v>
      </c>
      <c r="AI376" s="176" t="s">
        <v>498</v>
      </c>
      <c r="AJ376" s="109" t="s">
        <v>499</v>
      </c>
      <c r="AK376" s="109"/>
      <c r="AL376" s="28"/>
      <c r="AM376" s="108"/>
      <c r="AN376" s="260"/>
      <c r="AO376" s="102"/>
      <c r="AP376" s="120"/>
      <c r="AQ376" s="120"/>
      <c r="AR376" s="119"/>
      <c r="AS376" s="123"/>
      <c r="AT376" s="123"/>
      <c r="AU376" s="124"/>
      <c r="AV376" s="124"/>
      <c r="AW376" s="108"/>
      <c r="AX376" s="102"/>
      <c r="AY376" s="102"/>
      <c r="AZ376" s="119"/>
      <c r="BA376" s="123"/>
      <c r="BB376" s="123"/>
      <c r="BC376" s="108"/>
      <c r="BD376" s="108"/>
      <c r="BE376" s="260"/>
      <c r="BF376" s="102"/>
      <c r="BG376" s="120"/>
      <c r="BH376" s="102"/>
      <c r="BI376" s="261"/>
      <c r="BJ376" s="119"/>
      <c r="BK376" s="261"/>
      <c r="BL376" s="102"/>
      <c r="BM376" s="119"/>
      <c r="BN376" s="123"/>
      <c r="BO376" s="123"/>
      <c r="BP376" s="123"/>
      <c r="BQ376" s="108"/>
      <c r="BR376" s="108"/>
      <c r="BS376" s="124"/>
      <c r="BT376" s="108"/>
      <c r="BU376" s="260"/>
      <c r="BV376" s="102"/>
      <c r="BW376" s="120"/>
      <c r="BX376" s="120"/>
      <c r="BY376" s="254"/>
      <c r="BZ376" s="254"/>
      <c r="CA376" s="253"/>
      <c r="CB376" s="256"/>
      <c r="CC376" s="256"/>
      <c r="CD376" s="257"/>
      <c r="CE376" s="255"/>
      <c r="CF376" s="255"/>
      <c r="CG376" s="126"/>
      <c r="CH376" s="209"/>
      <c r="CI376" s="256"/>
      <c r="CJ376" s="208"/>
      <c r="CK376" s="208"/>
      <c r="CL376" s="254"/>
      <c r="CM376" s="209"/>
      <c r="CN376" s="254"/>
      <c r="CO376" s="28"/>
      <c r="CP376" s="28"/>
      <c r="CQ376" s="28"/>
      <c r="CR376" s="28"/>
      <c r="CS376" s="28"/>
      <c r="CT376" s="28"/>
      <c r="CU376" s="28"/>
      <c r="CV376" s="28"/>
    </row>
    <row r="377" spans="1:100" ht="12" customHeight="1" x14ac:dyDescent="0.2">
      <c r="A377" s="200" t="s">
        <v>363</v>
      </c>
      <c r="B377" s="37">
        <f>B358</f>
        <v>161.00127538118977</v>
      </c>
      <c r="C377" s="115">
        <v>0</v>
      </c>
      <c r="D377" s="1">
        <f>C377</f>
        <v>0</v>
      </c>
      <c r="E377" s="118">
        <v>0.5</v>
      </c>
      <c r="F377" s="118">
        <f t="shared" ref="F377:F403" si="314">IF(C377=0,E377,N377*C377/B$165*1000)</f>
        <v>0.5</v>
      </c>
      <c r="G377" s="147">
        <f>B356</f>
        <v>1034.2609350901587</v>
      </c>
      <c r="H377" s="148">
        <f t="shared" ref="H377:H403" si="315">20.583*G377^-0.619</f>
        <v>0.28018999852868637</v>
      </c>
      <c r="I377" s="149">
        <f t="shared" ref="I377:I403" si="316">$D$371/H377*1000</f>
        <v>0.7007599732958788</v>
      </c>
      <c r="J377" s="150">
        <f t="shared" ref="J377:J403" si="317">I377/1000/(($B$367/1000)^2/4*PI())</f>
        <v>9.5021340098200984</v>
      </c>
      <c r="K377" s="151">
        <f t="shared" ref="K377:K403" si="318">-0.0000000000088144*B377^2+0.000000038157*B377+0.000018526</f>
        <v>2.4440843982471892E-5</v>
      </c>
      <c r="L377" s="151">
        <f t="shared" ref="L377:L403" si="319">-0.0000000000088144*G377^2+0.000000038157*G377+0.000018526</f>
        <v>4.8561568882105084E-5</v>
      </c>
      <c r="M377" s="152">
        <f t="shared" ref="M377:M403" si="320">4*$D$371/PI()/L377/($B$367/1000)</f>
        <v>531.2637682655195</v>
      </c>
      <c r="N377" s="153">
        <f t="shared" ref="N377:N403" si="321">MAX(64/M377,(0.25/(LOG(B$369/3.7/B$367+5.74/M377^0.9))^2))</f>
        <v>0.12046746611188727</v>
      </c>
      <c r="O377" s="154">
        <f t="shared" ref="O377:O403" si="322">$F377*H377*(J377^2)/2</f>
        <v>6.3246273197893323</v>
      </c>
      <c r="P377" s="155">
        <f t="shared" ref="P377:P403" si="323">-0.00000000012044*G377^3+0.00000024927*G377^2-0.00010926*G377+0.69512</f>
        <v>0.71551156654587789</v>
      </c>
      <c r="Q377" s="154">
        <f t="shared" ref="Q377:Q403" si="324">0.000050069*G377+0.030201</f>
        <v>8.1985410759029154E-2</v>
      </c>
      <c r="R377" s="154">
        <v>0</v>
      </c>
      <c r="S377" s="154">
        <v>1</v>
      </c>
      <c r="T377" s="154">
        <f t="shared" ref="T377:T403" si="325">IF($C377=0,0,(IF(M377&lt;2500,MAX(1.86*M377^0.33333*P377^0.33333*S377*(L377/K377)^0.14,3.66)*B$360,0.023*M377^0.8*P377^0.33*S377)))</f>
        <v>0</v>
      </c>
      <c r="U377" s="154">
        <f t="shared" ref="U377:U403" si="326">T377*Q377/$B$367*1000</f>
        <v>0</v>
      </c>
      <c r="V377" s="157">
        <f t="shared" ref="V377:V403" si="327">U377*(G377-B377)*$C377*PI()*$B$367/1000</f>
        <v>0</v>
      </c>
      <c r="W377" s="158">
        <f t="shared" ref="W377:W403" si="328">0.000000056703*H$368*((G377+273)^4-(B377+273)^4)*C377*B$367*PI()/1000</f>
        <v>0</v>
      </c>
      <c r="X377" s="157">
        <f t="shared" ref="X377:X403" si="329">(V377+W377)/1000/$B$357/$D$371</f>
        <v>0</v>
      </c>
      <c r="Y377" s="143">
        <f t="shared" ref="Y377:Y403" si="330">G377-X377/2</f>
        <v>1034.2609350901587</v>
      </c>
      <c r="Z377" s="157">
        <f t="shared" ref="Z377:Z403" si="331">U377*(Y377-B377)*$C377*PI()*B$367/1000</f>
        <v>0</v>
      </c>
      <c r="AA377" s="158">
        <f t="shared" ref="AA377:AA403" si="332">0.000000056703*H$368*((Y377+273)^4-(B377+273)^4)*C377*B$367*PI()/1000</f>
        <v>0</v>
      </c>
      <c r="AB377" s="157">
        <f t="shared" ref="AB377:AB403" si="333">(Z377+AA377)/1000/$B$357/$D$371</f>
        <v>0</v>
      </c>
      <c r="AC377" s="157">
        <f>Z377</f>
        <v>0</v>
      </c>
      <c r="AD377" s="123">
        <f>B368</f>
        <v>0.30322580645161296</v>
      </c>
      <c r="AE377" s="108">
        <f>B377</f>
        <v>161.00127538118977</v>
      </c>
      <c r="AF377" s="123">
        <f t="shared" ref="AF377:AF402" si="334">G378</f>
        <v>1034.2609350901587</v>
      </c>
      <c r="AG377" s="125">
        <f t="shared" ref="AG377:AG402" si="335">AC377</f>
        <v>0</v>
      </c>
      <c r="AH377" s="292">
        <f t="shared" ref="AH377:AH402" si="336">(1-(C$567-AF377)/(C$567-B$567))*100</f>
        <v>100</v>
      </c>
      <c r="AI377" s="119">
        <f t="shared" ref="AI377:AI402" si="337">(A$567-AD377)*39.37/(B$165/25.4)^2</f>
        <v>-82.023963818394691</v>
      </c>
      <c r="AJ377" s="119">
        <f t="shared" ref="AJ377:AJ402" si="338">(A$567-AD377)/(B$165/1000)</f>
        <v>-31.292267365661871</v>
      </c>
      <c r="AK377" s="175"/>
      <c r="AL377" s="28"/>
      <c r="AM377" s="108"/>
      <c r="AN377" s="260"/>
      <c r="AO377" s="102"/>
      <c r="AP377" s="120"/>
      <c r="AQ377" s="120"/>
      <c r="AR377" s="119"/>
      <c r="AS377" s="123"/>
      <c r="AT377" s="123"/>
      <c r="AU377" s="124"/>
      <c r="AV377" s="124"/>
      <c r="AW377" s="108"/>
      <c r="AX377" s="102"/>
      <c r="AY377" s="102"/>
      <c r="AZ377" s="119"/>
      <c r="BA377" s="123"/>
      <c r="BB377" s="123"/>
      <c r="BC377" s="108"/>
      <c r="BD377" s="108"/>
      <c r="BE377" s="260"/>
      <c r="BF377" s="102"/>
      <c r="BG377" s="120"/>
      <c r="BH377" s="102"/>
      <c r="BI377" s="261"/>
      <c r="BJ377" s="119"/>
      <c r="BK377" s="261"/>
      <c r="BL377" s="102"/>
      <c r="BM377" s="119"/>
      <c r="BN377" s="123"/>
      <c r="BO377" s="123"/>
      <c r="BP377" s="123"/>
      <c r="BQ377" s="108"/>
      <c r="BR377" s="108"/>
      <c r="BS377" s="124"/>
      <c r="BT377" s="108"/>
      <c r="BU377" s="260"/>
      <c r="BV377" s="102"/>
      <c r="BW377" s="120"/>
      <c r="BX377" s="120"/>
      <c r="BY377" s="254"/>
      <c r="BZ377" s="254"/>
      <c r="CA377" s="253"/>
      <c r="CB377" s="256"/>
      <c r="CC377" s="256"/>
      <c r="CD377" s="257"/>
      <c r="CE377" s="255"/>
      <c r="CF377" s="255"/>
      <c r="CG377" s="126"/>
      <c r="CH377" s="209"/>
      <c r="CI377" s="256"/>
      <c r="CJ377" s="208"/>
      <c r="CK377" s="208"/>
      <c r="CL377" s="254"/>
      <c r="CM377" s="209"/>
      <c r="CN377" s="254"/>
      <c r="CO377" s="28"/>
      <c r="CP377" s="28"/>
      <c r="CQ377" s="28"/>
      <c r="CR377" s="28"/>
      <c r="CS377" s="28"/>
      <c r="CT377" s="28"/>
      <c r="CU377" s="28"/>
      <c r="CV377" s="28"/>
    </row>
    <row r="378" spans="1:100" ht="12" customHeight="1" x14ac:dyDescent="0.2">
      <c r="A378" s="200" t="s">
        <v>364</v>
      </c>
      <c r="B378" s="37">
        <f t="shared" ref="B378:B403" si="339">B377</f>
        <v>161.00127538118977</v>
      </c>
      <c r="C378" s="161">
        <f t="shared" ref="C378:C402" si="340">B$368/25</f>
        <v>1.2129032258064519E-2</v>
      </c>
      <c r="D378" s="26">
        <f t="shared" ref="D378:D403" si="341">D377+C378</f>
        <v>1.2129032258064519E-2</v>
      </c>
      <c r="E378" s="118">
        <v>0</v>
      </c>
      <c r="F378" s="118">
        <f t="shared" si="314"/>
        <v>0.15078800633747952</v>
      </c>
      <c r="G378" s="147">
        <f t="shared" ref="G378:G403" si="342">G377-AB377</f>
        <v>1034.2609350901587</v>
      </c>
      <c r="H378" s="148">
        <f t="shared" si="315"/>
        <v>0.28018999852868637</v>
      </c>
      <c r="I378" s="149">
        <f t="shared" si="316"/>
        <v>0.7007599732958788</v>
      </c>
      <c r="J378" s="150">
        <f t="shared" si="317"/>
        <v>9.5021340098200984</v>
      </c>
      <c r="K378" s="151">
        <f t="shared" si="318"/>
        <v>2.4440843982471892E-5</v>
      </c>
      <c r="L378" s="151">
        <f t="shared" si="319"/>
        <v>4.8561568882105084E-5</v>
      </c>
      <c r="M378" s="152">
        <f t="shared" si="320"/>
        <v>531.2637682655195</v>
      </c>
      <c r="N378" s="153">
        <f t="shared" si="321"/>
        <v>0.12046746611188727</v>
      </c>
      <c r="O378" s="154">
        <f t="shared" si="322"/>
        <v>1.9073558887571798</v>
      </c>
      <c r="P378" s="155">
        <f t="shared" si="323"/>
        <v>0.71551156654587789</v>
      </c>
      <c r="Q378" s="154">
        <f t="shared" si="324"/>
        <v>8.1985410759029154E-2</v>
      </c>
      <c r="R378" s="154">
        <f t="shared" ref="R378:R402" si="343">IF(M378&lt;2500,($B$367/1000/$D378)^0.333333,1+($B$367/1000/D378)^0.7)</f>
        <v>0.92789967932657491</v>
      </c>
      <c r="S378" s="154">
        <f t="shared" ref="S378:S402" si="344">(R378*D378-R377*D377)/(D378-D377)</f>
        <v>0.92789967932657502</v>
      </c>
      <c r="T378" s="154">
        <f t="shared" si="325"/>
        <v>22.021438367382785</v>
      </c>
      <c r="U378" s="154">
        <f t="shared" si="326"/>
        <v>186.31727837495816</v>
      </c>
      <c r="V378" s="157">
        <f t="shared" si="327"/>
        <v>60.076093048160729</v>
      </c>
      <c r="W378" s="158">
        <f t="shared" si="328"/>
        <v>0.52448289548592852</v>
      </c>
      <c r="X378" s="157">
        <f t="shared" si="329"/>
        <v>278.05573472240769</v>
      </c>
      <c r="Y378" s="143">
        <f t="shared" si="330"/>
        <v>895.23306772895489</v>
      </c>
      <c r="Z378" s="157">
        <f t="shared" si="331"/>
        <v>50.511639906396944</v>
      </c>
      <c r="AA378" s="158">
        <f t="shared" si="332"/>
        <v>0.33216681268889642</v>
      </c>
      <c r="AB378" s="157">
        <f t="shared" si="333"/>
        <v>233.28841043534109</v>
      </c>
      <c r="AC378" s="157">
        <f t="shared" ref="AC378:AC403" si="345">Z378+AA378+AC377</f>
        <v>50.84380671908584</v>
      </c>
      <c r="AD378" s="123">
        <f t="shared" ref="AD378:AD402" si="346">A$567-D378</f>
        <v>-1.2129032258064519E-2</v>
      </c>
      <c r="AE378" s="108">
        <f t="shared" ref="AE378:AE402" si="347">AE377</f>
        <v>161.00127538118977</v>
      </c>
      <c r="AF378" s="123">
        <f t="shared" si="334"/>
        <v>800.97252465481756</v>
      </c>
      <c r="AG378" s="125">
        <f t="shared" si="335"/>
        <v>50.84380671908584</v>
      </c>
      <c r="AH378" s="292">
        <f t="shared" si="336"/>
        <v>73.285332965788314</v>
      </c>
      <c r="AI378" s="119">
        <f t="shared" si="337"/>
        <v>3.2809585527357883</v>
      </c>
      <c r="AJ378" s="119">
        <f t="shared" si="338"/>
        <v>1.251690694626475</v>
      </c>
      <c r="AK378" s="175"/>
      <c r="AL378" s="28"/>
      <c r="AM378" s="108"/>
      <c r="AN378" s="260"/>
      <c r="AO378" s="102"/>
      <c r="AP378" s="120"/>
      <c r="AQ378" s="120"/>
      <c r="AR378" s="119"/>
      <c r="AS378" s="123"/>
      <c r="AT378" s="123"/>
      <c r="AU378" s="124"/>
      <c r="AV378" s="124"/>
      <c r="AW378" s="108"/>
      <c r="AX378" s="102"/>
      <c r="AY378" s="102"/>
      <c r="AZ378" s="119"/>
      <c r="BA378" s="123"/>
      <c r="BB378" s="123"/>
      <c r="BC378" s="108"/>
      <c r="BD378" s="108"/>
      <c r="BE378" s="260"/>
      <c r="BF378" s="102"/>
      <c r="BG378" s="120"/>
      <c r="BH378" s="102"/>
      <c r="BI378" s="261"/>
      <c r="BJ378" s="119"/>
      <c r="BK378" s="261"/>
      <c r="BL378" s="102"/>
      <c r="BM378" s="119"/>
      <c r="BN378" s="123"/>
      <c r="BO378" s="123"/>
      <c r="BP378" s="123"/>
      <c r="BQ378" s="108"/>
      <c r="BR378" s="108"/>
      <c r="BS378" s="124"/>
      <c r="BT378" s="108"/>
      <c r="BU378" s="260"/>
      <c r="BV378" s="102"/>
      <c r="BW378" s="120"/>
      <c r="BX378" s="120"/>
      <c r="BY378" s="254"/>
      <c r="BZ378" s="254"/>
      <c r="CA378" s="253"/>
      <c r="CB378" s="256"/>
      <c r="CC378" s="256"/>
      <c r="CD378" s="257"/>
      <c r="CE378" s="255"/>
      <c r="CF378" s="255"/>
      <c r="CG378" s="126"/>
      <c r="CH378" s="209"/>
      <c r="CI378" s="256"/>
      <c r="CJ378" s="208"/>
      <c r="CK378" s="208"/>
      <c r="CL378" s="254"/>
      <c r="CM378" s="209"/>
      <c r="CN378" s="254"/>
      <c r="CO378" s="28"/>
      <c r="CP378" s="28"/>
      <c r="CQ378" s="28"/>
      <c r="CR378" s="28"/>
      <c r="CS378" s="28"/>
      <c r="CT378" s="28"/>
      <c r="CU378" s="28"/>
      <c r="CV378" s="28"/>
    </row>
    <row r="379" spans="1:100" ht="12" customHeight="1" x14ac:dyDescent="0.2">
      <c r="A379" s="200" t="s">
        <v>364</v>
      </c>
      <c r="B379" s="37">
        <f t="shared" si="339"/>
        <v>161.00127538118977</v>
      </c>
      <c r="C379" s="161">
        <f t="shared" si="340"/>
        <v>1.2129032258064519E-2</v>
      </c>
      <c r="D379" s="26">
        <f t="shared" si="341"/>
        <v>2.4258064516129038E-2</v>
      </c>
      <c r="E379" s="118">
        <v>0</v>
      </c>
      <c r="F379" s="118">
        <f t="shared" si="314"/>
        <v>0.13486572912809275</v>
      </c>
      <c r="G379" s="147">
        <f t="shared" si="342"/>
        <v>800.97252465481756</v>
      </c>
      <c r="H379" s="148">
        <f t="shared" si="315"/>
        <v>0.32822326998814577</v>
      </c>
      <c r="I379" s="149">
        <f t="shared" si="316"/>
        <v>0.59820845698669034</v>
      </c>
      <c r="J379" s="150">
        <f t="shared" si="317"/>
        <v>8.1115605067460024</v>
      </c>
      <c r="K379" s="151">
        <f t="shared" si="318"/>
        <v>2.4440843982471892E-5</v>
      </c>
      <c r="L379" s="151">
        <f t="shared" si="319"/>
        <v>4.3433768732449417E-5</v>
      </c>
      <c r="M379" s="152">
        <f t="shared" si="320"/>
        <v>593.98488388409817</v>
      </c>
      <c r="N379" s="153">
        <f t="shared" si="321"/>
        <v>0.10774684968664633</v>
      </c>
      <c r="O379" s="154">
        <f t="shared" si="322"/>
        <v>1.4562964842742145</v>
      </c>
      <c r="P379" s="155">
        <f t="shared" si="323"/>
        <v>0.70563620689949746</v>
      </c>
      <c r="Q379" s="154">
        <f t="shared" si="324"/>
        <v>7.0304893336942065E-2</v>
      </c>
      <c r="R379" s="154">
        <f t="shared" si="343"/>
        <v>0.73647463370373234</v>
      </c>
      <c r="S379" s="154">
        <f t="shared" si="344"/>
        <v>0.54504958808088966</v>
      </c>
      <c r="T379" s="154">
        <f t="shared" si="325"/>
        <v>13.156444425862398</v>
      </c>
      <c r="U379" s="154">
        <f t="shared" si="326"/>
        <v>95.454182323073837</v>
      </c>
      <c r="V379" s="157">
        <f t="shared" si="327"/>
        <v>22.555921619389416</v>
      </c>
      <c r="W379" s="158">
        <f t="shared" si="328"/>
        <v>0.23540956143618438</v>
      </c>
      <c r="X379" s="157">
        <f t="shared" si="329"/>
        <v>104.57425920636943</v>
      </c>
      <c r="Y379" s="143">
        <f t="shared" si="330"/>
        <v>748.6853950516329</v>
      </c>
      <c r="Z379" s="157">
        <f t="shared" si="331"/>
        <v>20.713050711718331</v>
      </c>
      <c r="AA379" s="158">
        <f t="shared" si="332"/>
        <v>0.19163853899680744</v>
      </c>
      <c r="AB379" s="157">
        <f t="shared" si="333"/>
        <v>95.917714283053996</v>
      </c>
      <c r="AC379" s="157">
        <f t="shared" si="345"/>
        <v>71.748495969800985</v>
      </c>
      <c r="AD379" s="123">
        <f t="shared" si="346"/>
        <v>-2.4258064516129038E-2</v>
      </c>
      <c r="AE379" s="108">
        <f t="shared" si="347"/>
        <v>161.00127538118977</v>
      </c>
      <c r="AF379" s="123">
        <f t="shared" si="334"/>
        <v>705.05481037176355</v>
      </c>
      <c r="AG379" s="125">
        <f t="shared" si="335"/>
        <v>71.748495969800985</v>
      </c>
      <c r="AH379" s="292">
        <f t="shared" si="336"/>
        <v>62.301461992632333</v>
      </c>
      <c r="AI379" s="119">
        <f t="shared" si="337"/>
        <v>6.5619171054715766</v>
      </c>
      <c r="AJ379" s="119">
        <f t="shared" si="338"/>
        <v>2.50338138925295</v>
      </c>
      <c r="AK379" s="175"/>
      <c r="AL379" s="28"/>
      <c r="AM379" s="108"/>
      <c r="AN379" s="260"/>
      <c r="AO379" s="102"/>
      <c r="AP379" s="120"/>
      <c r="AQ379" s="120"/>
      <c r="AR379" s="119"/>
      <c r="AS379" s="123"/>
      <c r="AT379" s="123"/>
      <c r="AU379" s="124"/>
      <c r="AV379" s="124"/>
      <c r="AW379" s="108"/>
      <c r="AX379" s="102"/>
      <c r="AY379" s="102"/>
      <c r="AZ379" s="119"/>
      <c r="BA379" s="123"/>
      <c r="BB379" s="123"/>
      <c r="BC379" s="108"/>
      <c r="BD379" s="108"/>
      <c r="BE379" s="260"/>
      <c r="BF379" s="102"/>
      <c r="BG379" s="120"/>
      <c r="BH379" s="102"/>
      <c r="BI379" s="261"/>
      <c r="BJ379" s="119"/>
      <c r="BK379" s="261"/>
      <c r="BL379" s="102"/>
      <c r="BM379" s="119"/>
      <c r="BN379" s="123"/>
      <c r="BO379" s="123"/>
      <c r="BP379" s="123"/>
      <c r="BQ379" s="108"/>
      <c r="BR379" s="108"/>
      <c r="BS379" s="124"/>
      <c r="BT379" s="108"/>
      <c r="BU379" s="260"/>
      <c r="BV379" s="102"/>
      <c r="BW379" s="120"/>
      <c r="BX379" s="120"/>
      <c r="BY379" s="254"/>
      <c r="BZ379" s="254"/>
      <c r="CA379" s="253"/>
      <c r="CB379" s="256"/>
      <c r="CC379" s="256"/>
      <c r="CD379" s="257"/>
      <c r="CE379" s="255"/>
      <c r="CF379" s="255"/>
      <c r="CG379" s="126"/>
      <c r="CH379" s="209"/>
      <c r="CI379" s="256"/>
      <c r="CJ379" s="208"/>
      <c r="CK379" s="208"/>
      <c r="CL379" s="254"/>
      <c r="CM379" s="209"/>
      <c r="CN379" s="254"/>
      <c r="CO379" s="28"/>
      <c r="CP379" s="28"/>
      <c r="CQ379" s="28"/>
      <c r="CR379" s="28"/>
      <c r="CS379" s="28"/>
      <c r="CT379" s="28"/>
      <c r="CU379" s="28"/>
      <c r="CV379" s="28"/>
    </row>
    <row r="380" spans="1:100" ht="12" customHeight="1" x14ac:dyDescent="0.2">
      <c r="A380" s="200" t="s">
        <v>364</v>
      </c>
      <c r="B380" s="37">
        <f t="shared" si="339"/>
        <v>161.00127538118977</v>
      </c>
      <c r="C380" s="161">
        <f t="shared" si="340"/>
        <v>1.2129032258064519E-2</v>
      </c>
      <c r="D380" s="26">
        <f t="shared" si="341"/>
        <v>3.6387096774193557E-2</v>
      </c>
      <c r="E380" s="118">
        <v>0</v>
      </c>
      <c r="F380" s="118">
        <f t="shared" si="314"/>
        <v>0.12745496559414393</v>
      </c>
      <c r="G380" s="147">
        <f t="shared" si="342"/>
        <v>705.05481037176355</v>
      </c>
      <c r="H380" s="148">
        <f t="shared" si="315"/>
        <v>0.35518834888053635</v>
      </c>
      <c r="I380" s="149">
        <f t="shared" si="316"/>
        <v>0.55279385291090544</v>
      </c>
      <c r="J380" s="150">
        <f t="shared" si="317"/>
        <v>7.4957495723665852</v>
      </c>
      <c r="K380" s="151">
        <f t="shared" si="318"/>
        <v>2.4440843982471892E-5</v>
      </c>
      <c r="L380" s="151">
        <f t="shared" si="319"/>
        <v>4.1047118012912737E-5</v>
      </c>
      <c r="M380" s="152">
        <f t="shared" si="320"/>
        <v>628.52164356768742</v>
      </c>
      <c r="N380" s="153">
        <f t="shared" si="321"/>
        <v>0.10182624680466973</v>
      </c>
      <c r="O380" s="154">
        <f t="shared" si="322"/>
        <v>1.271790606807969</v>
      </c>
      <c r="P380" s="155">
        <f t="shared" si="323"/>
        <v>0.69978606211247329</v>
      </c>
      <c r="Q380" s="154">
        <f t="shared" si="324"/>
        <v>6.5502389300503824E-2</v>
      </c>
      <c r="R380" s="154">
        <f t="shared" si="343"/>
        <v>0.64336993973208345</v>
      </c>
      <c r="S380" s="154">
        <f t="shared" si="344"/>
        <v>0.45716055178878579</v>
      </c>
      <c r="T380" s="154">
        <f t="shared" si="325"/>
        <v>11.125290126459618</v>
      </c>
      <c r="U380" s="154">
        <f t="shared" si="326"/>
        <v>75.203726223489909</v>
      </c>
      <c r="V380" s="157">
        <f t="shared" si="327"/>
        <v>15.107275440779294</v>
      </c>
      <c r="W380" s="158">
        <f t="shared" si="328"/>
        <v>0.15990789420359774</v>
      </c>
      <c r="X380" s="157">
        <f t="shared" si="329"/>
        <v>70.050949405133892</v>
      </c>
      <c r="Y380" s="143">
        <f t="shared" si="330"/>
        <v>670.0293356691966</v>
      </c>
      <c r="Z380" s="157">
        <f t="shared" si="331"/>
        <v>14.134688260025301</v>
      </c>
      <c r="AA380" s="158">
        <f t="shared" si="332"/>
        <v>0.13732768426694117</v>
      </c>
      <c r="AB380" s="157">
        <f t="shared" si="333"/>
        <v>65.484788181722621</v>
      </c>
      <c r="AC380" s="157">
        <f t="shared" si="345"/>
        <v>86.02051191409322</v>
      </c>
      <c r="AD380" s="123">
        <f t="shared" si="346"/>
        <v>-3.6387096774193557E-2</v>
      </c>
      <c r="AE380" s="108">
        <f t="shared" si="347"/>
        <v>161.00127538118977</v>
      </c>
      <c r="AF380" s="123">
        <f t="shared" si="334"/>
        <v>639.57002219004096</v>
      </c>
      <c r="AG380" s="125">
        <f t="shared" si="335"/>
        <v>86.02051191409322</v>
      </c>
      <c r="AH380" s="292">
        <f t="shared" si="336"/>
        <v>54.802571204118564</v>
      </c>
      <c r="AI380" s="119">
        <f t="shared" si="337"/>
        <v>9.8428756582073653</v>
      </c>
      <c r="AJ380" s="119">
        <f t="shared" si="338"/>
        <v>3.7550720838794245</v>
      </c>
      <c r="AK380" s="175"/>
      <c r="AL380" s="28"/>
      <c r="AM380" s="108"/>
      <c r="AN380" s="260"/>
      <c r="AO380" s="102"/>
      <c r="AP380" s="120"/>
      <c r="AQ380" s="120"/>
      <c r="AR380" s="119"/>
      <c r="AS380" s="123"/>
      <c r="AT380" s="123"/>
      <c r="AU380" s="124"/>
      <c r="AV380" s="124"/>
      <c r="AW380" s="108"/>
      <c r="AX380" s="102"/>
      <c r="AY380" s="102"/>
      <c r="AZ380" s="119"/>
      <c r="BA380" s="123"/>
      <c r="BB380" s="123"/>
      <c r="BC380" s="108"/>
      <c r="BD380" s="108"/>
      <c r="BE380" s="260"/>
      <c r="BF380" s="102"/>
      <c r="BG380" s="120"/>
      <c r="BH380" s="102"/>
      <c r="BI380" s="261"/>
      <c r="BJ380" s="119"/>
      <c r="BK380" s="261"/>
      <c r="BL380" s="102"/>
      <c r="BM380" s="119"/>
      <c r="BN380" s="123"/>
      <c r="BO380" s="123"/>
      <c r="BP380" s="123"/>
      <c r="BQ380" s="108"/>
      <c r="BR380" s="108"/>
      <c r="BS380" s="124"/>
      <c r="BT380" s="108"/>
      <c r="BU380" s="260"/>
      <c r="BV380" s="102"/>
      <c r="BW380" s="120"/>
      <c r="BX380" s="120"/>
      <c r="BY380" s="254"/>
      <c r="BZ380" s="254"/>
      <c r="CA380" s="253"/>
      <c r="CB380" s="256"/>
      <c r="CC380" s="256"/>
      <c r="CD380" s="257"/>
      <c r="CE380" s="255"/>
      <c r="CF380" s="255"/>
      <c r="CG380" s="126"/>
      <c r="CH380" s="209"/>
      <c r="CI380" s="256"/>
      <c r="CJ380" s="208"/>
      <c r="CK380" s="208"/>
      <c r="CL380" s="254"/>
      <c r="CM380" s="209"/>
      <c r="CN380" s="254"/>
      <c r="CO380" s="28"/>
      <c r="CP380" s="28"/>
      <c r="CQ380" s="28"/>
      <c r="CR380" s="28"/>
      <c r="CS380" s="28"/>
      <c r="CT380" s="28"/>
      <c r="CU380" s="28"/>
      <c r="CV380" s="28"/>
    </row>
    <row r="381" spans="1:100" ht="12" customHeight="1" x14ac:dyDescent="0.2">
      <c r="A381" s="200" t="s">
        <v>364</v>
      </c>
      <c r="B381" s="37">
        <f t="shared" si="339"/>
        <v>161.00127538118977</v>
      </c>
      <c r="C381" s="161">
        <f t="shared" si="340"/>
        <v>1.2129032258064519E-2</v>
      </c>
      <c r="D381" s="26">
        <f t="shared" si="341"/>
        <v>4.8516129032258076E-2</v>
      </c>
      <c r="E381" s="118">
        <v>0</v>
      </c>
      <c r="F381" s="118">
        <f t="shared" si="314"/>
        <v>0.12219607895633122</v>
      </c>
      <c r="G381" s="147">
        <f t="shared" si="342"/>
        <v>639.57002219004096</v>
      </c>
      <c r="H381" s="148">
        <f t="shared" si="315"/>
        <v>0.37728013648919589</v>
      </c>
      <c r="I381" s="149">
        <f t="shared" si="316"/>
        <v>0.52042479022045551</v>
      </c>
      <c r="J381" s="150">
        <f t="shared" si="317"/>
        <v>7.0568329915431871</v>
      </c>
      <c r="K381" s="151">
        <f t="shared" si="318"/>
        <v>2.4440843982471892E-5</v>
      </c>
      <c r="L381" s="151">
        <f t="shared" si="319"/>
        <v>3.9324544662493409E-5</v>
      </c>
      <c r="M381" s="152">
        <f t="shared" si="320"/>
        <v>656.05342156190477</v>
      </c>
      <c r="N381" s="153">
        <f t="shared" si="321"/>
        <v>9.7624820157983641E-2</v>
      </c>
      <c r="O381" s="154">
        <f t="shared" si="322"/>
        <v>1.1479180747651985</v>
      </c>
      <c r="P381" s="155">
        <f t="shared" si="323"/>
        <v>0.69569539551459247</v>
      </c>
      <c r="Q381" s="154">
        <f t="shared" si="324"/>
        <v>6.2223631441033156E-2</v>
      </c>
      <c r="R381" s="154">
        <f t="shared" si="343"/>
        <v>0.58454043920210308</v>
      </c>
      <c r="S381" s="154">
        <f t="shared" si="344"/>
        <v>0.40805193761216196</v>
      </c>
      <c r="T381" s="154">
        <f t="shared" si="325"/>
        <v>9.993300231851272</v>
      </c>
      <c r="U381" s="154">
        <f t="shared" si="326"/>
        <v>64.170461281869507</v>
      </c>
      <c r="V381" s="157">
        <f t="shared" si="327"/>
        <v>11.339258235122818</v>
      </c>
      <c r="W381" s="158">
        <f t="shared" si="328"/>
        <v>0.11963269939473828</v>
      </c>
      <c r="X381" s="157">
        <f t="shared" si="329"/>
        <v>52.577228653142143</v>
      </c>
      <c r="Y381" s="143">
        <f t="shared" si="330"/>
        <v>613.28140786346989</v>
      </c>
      <c r="Z381" s="157">
        <f t="shared" si="331"/>
        <v>10.716373041552913</v>
      </c>
      <c r="AA381" s="158">
        <f t="shared" si="332"/>
        <v>0.10572014847151466</v>
      </c>
      <c r="AB381" s="157">
        <f t="shared" si="333"/>
        <v>49.655387367685314</v>
      </c>
      <c r="AC381" s="157">
        <f t="shared" si="345"/>
        <v>96.842605104117652</v>
      </c>
      <c r="AD381" s="123">
        <f t="shared" si="346"/>
        <v>-4.8516129032258076E-2</v>
      </c>
      <c r="AE381" s="108">
        <f t="shared" si="347"/>
        <v>161.00127538118977</v>
      </c>
      <c r="AF381" s="123">
        <f t="shared" si="334"/>
        <v>589.91463482235565</v>
      </c>
      <c r="AG381" s="125">
        <f t="shared" si="335"/>
        <v>96.842605104117652</v>
      </c>
      <c r="AH381" s="292">
        <f t="shared" si="336"/>
        <v>49.116360142424277</v>
      </c>
      <c r="AI381" s="119">
        <f t="shared" si="337"/>
        <v>13.123834210943153</v>
      </c>
      <c r="AJ381" s="119">
        <f t="shared" si="338"/>
        <v>5.0067627785058999</v>
      </c>
      <c r="AK381" s="175"/>
      <c r="AL381" s="28"/>
      <c r="AM381" s="108"/>
      <c r="AN381" s="260"/>
      <c r="AO381" s="102"/>
      <c r="AP381" s="120"/>
      <c r="AQ381" s="120"/>
      <c r="AR381" s="119"/>
      <c r="AS381" s="123"/>
      <c r="AT381" s="123"/>
      <c r="AU381" s="124"/>
      <c r="AV381" s="124"/>
      <c r="AW381" s="108"/>
      <c r="AX381" s="102"/>
      <c r="AY381" s="102"/>
      <c r="AZ381" s="119"/>
      <c r="BA381" s="123"/>
      <c r="BB381" s="123"/>
      <c r="BC381" s="108"/>
      <c r="BD381" s="108"/>
      <c r="BE381" s="260"/>
      <c r="BF381" s="102"/>
      <c r="BG381" s="120"/>
      <c r="BH381" s="102"/>
      <c r="BI381" s="261"/>
      <c r="BJ381" s="119"/>
      <c r="BK381" s="261"/>
      <c r="BL381" s="102"/>
      <c r="BM381" s="119"/>
      <c r="BN381" s="123"/>
      <c r="BO381" s="123"/>
      <c r="BP381" s="123"/>
      <c r="BQ381" s="108"/>
      <c r="BR381" s="108"/>
      <c r="BS381" s="124"/>
      <c r="BT381" s="108"/>
      <c r="BU381" s="260"/>
      <c r="BV381" s="102"/>
      <c r="BW381" s="120"/>
      <c r="BX381" s="120"/>
      <c r="BY381" s="254"/>
      <c r="BZ381" s="254"/>
      <c r="CA381" s="253"/>
      <c r="CB381" s="256"/>
      <c r="CC381" s="256"/>
      <c r="CD381" s="257"/>
      <c r="CE381" s="255"/>
      <c r="CF381" s="255"/>
      <c r="CG381" s="126"/>
      <c r="CH381" s="209"/>
      <c r="CI381" s="256"/>
      <c r="CJ381" s="208"/>
      <c r="CK381" s="208"/>
      <c r="CL381" s="254"/>
      <c r="CM381" s="209"/>
      <c r="CN381" s="254"/>
      <c r="CO381" s="28"/>
      <c r="CP381" s="28"/>
      <c r="CQ381" s="28"/>
      <c r="CR381" s="28"/>
      <c r="CS381" s="28"/>
      <c r="CT381" s="28"/>
      <c r="CU381" s="28"/>
      <c r="CV381" s="28"/>
    </row>
    <row r="382" spans="1:100" ht="12" customHeight="1" x14ac:dyDescent="0.2">
      <c r="A382" s="200" t="s">
        <v>364</v>
      </c>
      <c r="B382" s="37">
        <f t="shared" si="339"/>
        <v>161.00127538118977</v>
      </c>
      <c r="C382" s="161">
        <f t="shared" si="340"/>
        <v>1.2129032258064519E-2</v>
      </c>
      <c r="D382" s="26">
        <f t="shared" si="341"/>
        <v>6.0645161290322595E-2</v>
      </c>
      <c r="E382" s="118">
        <v>0</v>
      </c>
      <c r="F382" s="118">
        <f t="shared" si="314"/>
        <v>0.12081811804858324</v>
      </c>
      <c r="G382" s="147">
        <f t="shared" si="342"/>
        <v>589.91463482235565</v>
      </c>
      <c r="H382" s="148">
        <f t="shared" si="315"/>
        <v>0.3966342171515736</v>
      </c>
      <c r="I382" s="149">
        <f t="shared" si="316"/>
        <v>0.49503025053358174</v>
      </c>
      <c r="J382" s="150">
        <f t="shared" si="317"/>
        <v>6.7124892384497361</v>
      </c>
      <c r="K382" s="151">
        <f t="shared" si="318"/>
        <v>2.4440843982471892E-5</v>
      </c>
      <c r="L382" s="151">
        <f t="shared" si="319"/>
        <v>3.7967967899213968E-5</v>
      </c>
      <c r="M382" s="152">
        <f t="shared" si="320"/>
        <v>679.49388668037841</v>
      </c>
      <c r="N382" s="153">
        <f t="shared" si="321"/>
        <v>9.6523940432933664E-2</v>
      </c>
      <c r="O382" s="154">
        <f t="shared" si="322"/>
        <v>1.0795914919776137</v>
      </c>
      <c r="P382" s="155">
        <f t="shared" si="323"/>
        <v>0.69268659515576547</v>
      </c>
      <c r="Q382" s="154">
        <f t="shared" si="324"/>
        <v>5.973743585092052E-2</v>
      </c>
      <c r="R382" s="154">
        <f t="shared" si="343"/>
        <v>0.54263931544127131</v>
      </c>
      <c r="S382" s="154">
        <f t="shared" si="344"/>
        <v>0.37503482039794434</v>
      </c>
      <c r="T382" s="154">
        <f t="shared" si="325"/>
        <v>9.2339010675357862</v>
      </c>
      <c r="U382" s="154">
        <f t="shared" si="326"/>
        <v>56.924951182807227</v>
      </c>
      <c r="V382" s="157">
        <f t="shared" si="327"/>
        <v>9.0152420512162355</v>
      </c>
      <c r="W382" s="158">
        <f t="shared" si="328"/>
        <v>9.43503665785006E-2</v>
      </c>
      <c r="X382" s="157">
        <f t="shared" si="329"/>
        <v>41.797860388439844</v>
      </c>
      <c r="Y382" s="143">
        <f t="shared" si="330"/>
        <v>569.01570462813572</v>
      </c>
      <c r="Z382" s="157">
        <f t="shared" si="331"/>
        <v>8.5759717180239026</v>
      </c>
      <c r="AA382" s="158">
        <f t="shared" si="332"/>
        <v>8.4934296869309478E-2</v>
      </c>
      <c r="AB382" s="157">
        <f t="shared" si="333"/>
        <v>39.739136927878135</v>
      </c>
      <c r="AC382" s="157">
        <f t="shared" si="345"/>
        <v>105.50351111901087</v>
      </c>
      <c r="AD382" s="123">
        <f t="shared" si="346"/>
        <v>-6.0645161290322595E-2</v>
      </c>
      <c r="AE382" s="108">
        <f t="shared" si="347"/>
        <v>161.00127538118977</v>
      </c>
      <c r="AF382" s="123">
        <f t="shared" si="334"/>
        <v>550.17549789447753</v>
      </c>
      <c r="AG382" s="125">
        <f t="shared" si="335"/>
        <v>105.50351111901087</v>
      </c>
      <c r="AH382" s="292">
        <f t="shared" si="336"/>
        <v>44.565693397882114</v>
      </c>
      <c r="AI382" s="119">
        <f t="shared" si="337"/>
        <v>16.404792763678941</v>
      </c>
      <c r="AJ382" s="119">
        <f t="shared" si="338"/>
        <v>6.2584534731323744</v>
      </c>
      <c r="AK382" s="175"/>
      <c r="AL382" s="28"/>
      <c r="AM382" s="108"/>
      <c r="AN382" s="260"/>
      <c r="AO382" s="102"/>
      <c r="AP382" s="120"/>
      <c r="AQ382" s="120"/>
      <c r="AR382" s="119"/>
      <c r="AS382" s="123"/>
      <c r="AT382" s="123"/>
      <c r="AU382" s="124"/>
      <c r="AV382" s="124"/>
      <c r="AW382" s="108"/>
      <c r="AX382" s="102"/>
      <c r="AY382" s="102"/>
      <c r="AZ382" s="119"/>
      <c r="BA382" s="123"/>
      <c r="BB382" s="123"/>
      <c r="BC382" s="108"/>
      <c r="BD382" s="108"/>
      <c r="BE382" s="260"/>
      <c r="BF382" s="102"/>
      <c r="BG382" s="120"/>
      <c r="BH382" s="102"/>
      <c r="BI382" s="261"/>
      <c r="BJ382" s="119"/>
      <c r="BK382" s="261"/>
      <c r="BL382" s="102"/>
      <c r="BM382" s="119"/>
      <c r="BN382" s="123"/>
      <c r="BO382" s="123"/>
      <c r="BP382" s="123"/>
      <c r="BQ382" s="108"/>
      <c r="BR382" s="108"/>
      <c r="BS382" s="124"/>
      <c r="BT382" s="108"/>
      <c r="BU382" s="260"/>
      <c r="BV382" s="102"/>
      <c r="BW382" s="120"/>
      <c r="BX382" s="120"/>
      <c r="BY382" s="254"/>
      <c r="BZ382" s="254"/>
      <c r="CA382" s="253"/>
      <c r="CB382" s="256"/>
      <c r="CC382" s="256"/>
      <c r="CD382" s="257"/>
      <c r="CE382" s="255"/>
      <c r="CF382" s="255"/>
      <c r="CG382" s="126"/>
      <c r="CH382" s="209"/>
      <c r="CI382" s="256"/>
      <c r="CJ382" s="208"/>
      <c r="CK382" s="208"/>
      <c r="CL382" s="254"/>
      <c r="CM382" s="209"/>
      <c r="CN382" s="254"/>
      <c r="CO382" s="28"/>
      <c r="CP382" s="28"/>
      <c r="CQ382" s="28"/>
      <c r="CR382" s="28"/>
      <c r="CS382" s="28"/>
      <c r="CT382" s="28"/>
      <c r="CU382" s="28"/>
      <c r="CV382" s="28"/>
    </row>
    <row r="383" spans="1:100" ht="12" customHeight="1" x14ac:dyDescent="0.2">
      <c r="A383" s="200" t="s">
        <v>364</v>
      </c>
      <c r="B383" s="37">
        <f t="shared" si="339"/>
        <v>161.00127538118977</v>
      </c>
      <c r="C383" s="161">
        <f t="shared" si="340"/>
        <v>1.2129032258064519E-2</v>
      </c>
      <c r="D383" s="26">
        <f t="shared" si="341"/>
        <v>7.2774193548387114E-2</v>
      </c>
      <c r="E383" s="118">
        <v>0</v>
      </c>
      <c r="F383" s="118">
        <f t="shared" si="314"/>
        <v>0.11967564915243947</v>
      </c>
      <c r="G383" s="147">
        <f t="shared" si="342"/>
        <v>550.17549789447753</v>
      </c>
      <c r="H383" s="148">
        <f t="shared" si="315"/>
        <v>0.41413163148608167</v>
      </c>
      <c r="I383" s="149">
        <f t="shared" si="316"/>
        <v>0.47411480060617744</v>
      </c>
      <c r="J383" s="150">
        <f t="shared" si="317"/>
        <v>6.4288808480459023</v>
      </c>
      <c r="K383" s="151">
        <f t="shared" si="318"/>
        <v>2.4440843982471892E-5</v>
      </c>
      <c r="L383" s="151">
        <f t="shared" si="319"/>
        <v>3.6850988602175181E-5</v>
      </c>
      <c r="M383" s="152">
        <f t="shared" si="320"/>
        <v>700.08982271020852</v>
      </c>
      <c r="N383" s="153">
        <f t="shared" si="321"/>
        <v>9.5611199848499834E-2</v>
      </c>
      <c r="O383" s="154">
        <f t="shared" si="322"/>
        <v>1.0242004277848236</v>
      </c>
      <c r="P383" s="155">
        <f t="shared" si="323"/>
        <v>0.690402735855283</v>
      </c>
      <c r="Q383" s="154">
        <f t="shared" si="324"/>
        <v>5.7747737004078592E-2</v>
      </c>
      <c r="R383" s="154">
        <f t="shared" si="343"/>
        <v>0.51064317755132582</v>
      </c>
      <c r="S383" s="154">
        <f t="shared" si="344"/>
        <v>0.35066248810159817</v>
      </c>
      <c r="T383" s="154">
        <f t="shared" si="325"/>
        <v>8.6742511210652022</v>
      </c>
      <c r="U383" s="154">
        <f t="shared" si="326"/>
        <v>51.693725617884475</v>
      </c>
      <c r="V383" s="157">
        <f t="shared" si="327"/>
        <v>7.4282592268653458</v>
      </c>
      <c r="W383" s="158">
        <f t="shared" si="328"/>
        <v>7.7025798690009958E-2</v>
      </c>
      <c r="X383" s="157">
        <f t="shared" si="329"/>
        <v>34.436760865482626</v>
      </c>
      <c r="Y383" s="143">
        <f t="shared" si="330"/>
        <v>532.95711746173617</v>
      </c>
      <c r="Z383" s="157">
        <f t="shared" si="331"/>
        <v>7.0996079803999628</v>
      </c>
      <c r="AA383" s="158">
        <f t="shared" si="332"/>
        <v>7.0257639489756454E-2</v>
      </c>
      <c r="AB383" s="157">
        <f t="shared" si="333"/>
        <v>32.897744316048488</v>
      </c>
      <c r="AC383" s="157">
        <f t="shared" si="345"/>
        <v>112.67337673890059</v>
      </c>
      <c r="AD383" s="123">
        <f t="shared" si="346"/>
        <v>-7.2774193548387114E-2</v>
      </c>
      <c r="AE383" s="108">
        <f t="shared" si="347"/>
        <v>161.00127538118977</v>
      </c>
      <c r="AF383" s="123">
        <f t="shared" si="334"/>
        <v>517.27775357842904</v>
      </c>
      <c r="AG383" s="125">
        <f t="shared" si="335"/>
        <v>112.67337673890059</v>
      </c>
      <c r="AH383" s="292">
        <f t="shared" si="336"/>
        <v>40.798458309178677</v>
      </c>
      <c r="AI383" s="119">
        <f t="shared" si="337"/>
        <v>19.685751316414731</v>
      </c>
      <c r="AJ383" s="119">
        <f t="shared" si="338"/>
        <v>7.510144167758849</v>
      </c>
      <c r="AK383" s="175"/>
      <c r="AL383" s="28"/>
      <c r="AM383" s="108"/>
      <c r="AN383" s="260"/>
      <c r="AO383" s="102"/>
      <c r="AP383" s="120"/>
      <c r="AQ383" s="120"/>
      <c r="AR383" s="119"/>
      <c r="AS383" s="123"/>
      <c r="AT383" s="123"/>
      <c r="AU383" s="124"/>
      <c r="AV383" s="124"/>
      <c r="AW383" s="108"/>
      <c r="AX383" s="102"/>
      <c r="AY383" s="102"/>
      <c r="AZ383" s="119"/>
      <c r="BA383" s="123"/>
      <c r="BB383" s="123"/>
      <c r="BC383" s="108"/>
      <c r="BD383" s="108"/>
      <c r="BE383" s="260"/>
      <c r="BF383" s="102"/>
      <c r="BG383" s="120"/>
      <c r="BH383" s="102"/>
      <c r="BI383" s="261"/>
      <c r="BJ383" s="119"/>
      <c r="BK383" s="261"/>
      <c r="BL383" s="102"/>
      <c r="BM383" s="119"/>
      <c r="BN383" s="123"/>
      <c r="BO383" s="123"/>
      <c r="BP383" s="123"/>
      <c r="BQ383" s="108"/>
      <c r="BR383" s="108"/>
      <c r="BS383" s="124"/>
      <c r="BT383" s="108"/>
      <c r="BU383" s="260"/>
      <c r="BV383" s="102"/>
      <c r="BW383" s="120"/>
      <c r="BX383" s="120"/>
      <c r="BY383" s="254"/>
      <c r="BZ383" s="254"/>
      <c r="CA383" s="253"/>
      <c r="CB383" s="256"/>
      <c r="CC383" s="256"/>
      <c r="CD383" s="257"/>
      <c r="CE383" s="255"/>
      <c r="CF383" s="255"/>
      <c r="CG383" s="126"/>
      <c r="CH383" s="209"/>
      <c r="CI383" s="256"/>
      <c r="CJ383" s="208"/>
      <c r="CK383" s="208"/>
      <c r="CL383" s="254"/>
      <c r="CM383" s="209"/>
      <c r="CN383" s="254"/>
      <c r="CO383" s="28"/>
      <c r="CP383" s="28"/>
      <c r="CQ383" s="28"/>
      <c r="CR383" s="28"/>
      <c r="CS383" s="28"/>
      <c r="CT383" s="28"/>
      <c r="CU383" s="28"/>
      <c r="CV383" s="28"/>
    </row>
    <row r="384" spans="1:100" ht="12" customHeight="1" x14ac:dyDescent="0.2">
      <c r="A384" s="200" t="s">
        <v>364</v>
      </c>
      <c r="B384" s="37">
        <f t="shared" si="339"/>
        <v>161.00127538118977</v>
      </c>
      <c r="C384" s="161">
        <f t="shared" si="340"/>
        <v>1.2129032258064519E-2</v>
      </c>
      <c r="D384" s="26">
        <f t="shared" si="341"/>
        <v>8.4903225806451627E-2</v>
      </c>
      <c r="E384" s="118">
        <v>0</v>
      </c>
      <c r="F384" s="118">
        <f t="shared" si="314"/>
        <v>0.11870251331992811</v>
      </c>
      <c r="G384" s="147">
        <f t="shared" si="342"/>
        <v>517.27775357842904</v>
      </c>
      <c r="H384" s="148">
        <f t="shared" si="315"/>
        <v>0.43024282955120247</v>
      </c>
      <c r="I384" s="149">
        <f t="shared" si="316"/>
        <v>0.45636073956548706</v>
      </c>
      <c r="J384" s="150">
        <f t="shared" si="317"/>
        <v>6.188140118472389</v>
      </c>
      <c r="K384" s="151">
        <f t="shared" si="318"/>
        <v>2.4440843982471892E-5</v>
      </c>
      <c r="L384" s="151">
        <f t="shared" si="319"/>
        <v>3.5905242930686631E-5</v>
      </c>
      <c r="M384" s="152">
        <f t="shared" si="320"/>
        <v>718.53021930519981</v>
      </c>
      <c r="N384" s="153">
        <f t="shared" si="321"/>
        <v>9.4833742736539953E-2</v>
      </c>
      <c r="O384" s="154">
        <f t="shared" si="322"/>
        <v>0.97783108149799458</v>
      </c>
      <c r="P384" s="155">
        <f t="shared" si="323"/>
        <v>0.6886307191061064</v>
      </c>
      <c r="Q384" s="154">
        <f t="shared" si="324"/>
        <v>5.6100579843918363E-2</v>
      </c>
      <c r="R384" s="154">
        <f t="shared" si="343"/>
        <v>0.48506725675921913</v>
      </c>
      <c r="S384" s="154">
        <f t="shared" si="344"/>
        <v>0.33161173200657912</v>
      </c>
      <c r="T384" s="154">
        <f t="shared" si="325"/>
        <v>8.2372733175162054</v>
      </c>
      <c r="U384" s="154">
        <f t="shared" si="326"/>
        <v>47.689382484585025</v>
      </c>
      <c r="V384" s="157">
        <f t="shared" si="327"/>
        <v>6.2735592046922752</v>
      </c>
      <c r="W384" s="158">
        <f t="shared" si="328"/>
        <v>6.4460401039405354E-2</v>
      </c>
      <c r="X384" s="157">
        <f t="shared" si="329"/>
        <v>29.080956256844097</v>
      </c>
      <c r="Y384" s="143">
        <f t="shared" si="330"/>
        <v>502.73727545000702</v>
      </c>
      <c r="Z384" s="157">
        <f t="shared" si="331"/>
        <v>6.0175205493626702</v>
      </c>
      <c r="AA384" s="158">
        <f t="shared" si="332"/>
        <v>5.9383901567519146E-2</v>
      </c>
      <c r="AB384" s="157">
        <f t="shared" si="333"/>
        <v>27.882872491386156</v>
      </c>
      <c r="AC384" s="157">
        <f t="shared" si="345"/>
        <v>118.75028118983077</v>
      </c>
      <c r="AD384" s="123">
        <f t="shared" si="346"/>
        <v>-8.4903225806451627E-2</v>
      </c>
      <c r="AE384" s="108">
        <f t="shared" si="347"/>
        <v>161.00127538118977</v>
      </c>
      <c r="AF384" s="123">
        <f t="shared" si="334"/>
        <v>489.3948810870429</v>
      </c>
      <c r="AG384" s="125">
        <f t="shared" si="335"/>
        <v>118.75028118983077</v>
      </c>
      <c r="AH384" s="292">
        <f t="shared" si="336"/>
        <v>37.605493630072964</v>
      </c>
      <c r="AI384" s="119">
        <f t="shared" si="337"/>
        <v>22.966709869150513</v>
      </c>
      <c r="AJ384" s="119">
        <f t="shared" si="338"/>
        <v>8.7618348623853226</v>
      </c>
      <c r="AK384" s="175"/>
      <c r="AL384" s="28"/>
      <c r="AM384" s="108"/>
      <c r="AN384" s="260"/>
      <c r="AO384" s="102"/>
      <c r="AP384" s="120"/>
      <c r="AQ384" s="120"/>
      <c r="AR384" s="119"/>
      <c r="AS384" s="123"/>
      <c r="AT384" s="123"/>
      <c r="AU384" s="124"/>
      <c r="AV384" s="124"/>
      <c r="AW384" s="108"/>
      <c r="AX384" s="102"/>
      <c r="AY384" s="102"/>
      <c r="AZ384" s="119"/>
      <c r="BA384" s="123"/>
      <c r="BB384" s="123"/>
      <c r="BC384" s="108"/>
      <c r="BD384" s="108"/>
      <c r="BE384" s="260"/>
      <c r="BF384" s="102"/>
      <c r="BG384" s="120"/>
      <c r="BH384" s="102"/>
      <c r="BI384" s="261"/>
      <c r="BJ384" s="119"/>
      <c r="BK384" s="261"/>
      <c r="BL384" s="102"/>
      <c r="BM384" s="119"/>
      <c r="BN384" s="123"/>
      <c r="BO384" s="123"/>
      <c r="BP384" s="123"/>
      <c r="BQ384" s="108"/>
      <c r="BR384" s="108"/>
      <c r="BS384" s="124"/>
      <c r="BT384" s="108"/>
      <c r="BU384" s="260"/>
      <c r="BV384" s="102"/>
      <c r="BW384" s="120"/>
      <c r="BX384" s="120"/>
      <c r="BY384" s="254"/>
      <c r="BZ384" s="254"/>
      <c r="CA384" s="253"/>
      <c r="CB384" s="256"/>
      <c r="CC384" s="256"/>
      <c r="CD384" s="257"/>
      <c r="CE384" s="255"/>
      <c r="CF384" s="255"/>
      <c r="CG384" s="126"/>
      <c r="CH384" s="209"/>
      <c r="CI384" s="256"/>
      <c r="CJ384" s="208"/>
      <c r="CK384" s="208"/>
      <c r="CL384" s="254"/>
      <c r="CM384" s="209"/>
      <c r="CN384" s="254"/>
      <c r="CO384" s="28"/>
      <c r="CP384" s="28"/>
      <c r="CQ384" s="28"/>
      <c r="CR384" s="28"/>
      <c r="CS384" s="28"/>
      <c r="CT384" s="28"/>
      <c r="CU384" s="28"/>
      <c r="CV384" s="28"/>
    </row>
    <row r="385" spans="1:100" ht="12" customHeight="1" x14ac:dyDescent="0.2">
      <c r="A385" s="200" t="s">
        <v>364</v>
      </c>
      <c r="B385" s="37">
        <f t="shared" si="339"/>
        <v>161.00127538118977</v>
      </c>
      <c r="C385" s="161">
        <f t="shared" si="340"/>
        <v>1.2129032258064519E-2</v>
      </c>
      <c r="D385" s="26">
        <f t="shared" si="341"/>
        <v>9.7032258064516153E-2</v>
      </c>
      <c r="E385" s="118">
        <v>0</v>
      </c>
      <c r="F385" s="118">
        <f t="shared" si="314"/>
        <v>0.11785790590472206</v>
      </c>
      <c r="G385" s="147">
        <f t="shared" si="342"/>
        <v>489.3948810870429</v>
      </c>
      <c r="H385" s="148">
        <f t="shared" si="315"/>
        <v>0.44525570378781382</v>
      </c>
      <c r="I385" s="149">
        <f t="shared" si="316"/>
        <v>0.44097343215686918</v>
      </c>
      <c r="J385" s="150">
        <f t="shared" si="317"/>
        <v>5.9794919898424013</v>
      </c>
      <c r="K385" s="151">
        <f t="shared" si="318"/>
        <v>2.4440843982471892E-5</v>
      </c>
      <c r="L385" s="151">
        <f t="shared" si="319"/>
        <v>3.5088726895022594E-5</v>
      </c>
      <c r="M385" s="152">
        <f t="shared" si="320"/>
        <v>735.25044537459064</v>
      </c>
      <c r="N385" s="153">
        <f t="shared" si="321"/>
        <v>9.4158969472799975E-2</v>
      </c>
      <c r="O385" s="154">
        <f t="shared" si="322"/>
        <v>0.93813814107356408</v>
      </c>
      <c r="P385" s="155">
        <f t="shared" si="323"/>
        <v>0.68723349781330934</v>
      </c>
      <c r="Q385" s="154">
        <f t="shared" si="324"/>
        <v>5.4704512301147146E-2</v>
      </c>
      <c r="R385" s="154">
        <f t="shared" si="343"/>
        <v>0.46395016124892219</v>
      </c>
      <c r="S385" s="154">
        <f t="shared" si="344"/>
        <v>0.31613049267684334</v>
      </c>
      <c r="T385" s="154">
        <f t="shared" si="325"/>
        <v>7.8823800957160985</v>
      </c>
      <c r="U385" s="154">
        <f t="shared" si="326"/>
        <v>44.499117295476928</v>
      </c>
      <c r="V385" s="157">
        <f t="shared" si="327"/>
        <v>5.3957427975161165</v>
      </c>
      <c r="W385" s="158">
        <f t="shared" si="328"/>
        <v>5.4970150385422079E-2</v>
      </c>
      <c r="X385" s="157">
        <f t="shared" si="329"/>
        <v>25.009696193301576</v>
      </c>
      <c r="Y385" s="143">
        <f t="shared" si="330"/>
        <v>476.89003299039211</v>
      </c>
      <c r="Z385" s="157">
        <f t="shared" si="331"/>
        <v>5.1902791621736739</v>
      </c>
      <c r="AA385" s="158">
        <f t="shared" si="332"/>
        <v>5.1038549586709163E-2</v>
      </c>
      <c r="AB385" s="157">
        <f t="shared" si="333"/>
        <v>24.048920733234269</v>
      </c>
      <c r="AC385" s="157">
        <f t="shared" si="345"/>
        <v>123.99159890159116</v>
      </c>
      <c r="AD385" s="123">
        <f t="shared" si="346"/>
        <v>-9.7032258064516153E-2</v>
      </c>
      <c r="AE385" s="108">
        <f t="shared" si="347"/>
        <v>161.00127538118977</v>
      </c>
      <c r="AF385" s="123">
        <f t="shared" si="334"/>
        <v>465.34596035380866</v>
      </c>
      <c r="AG385" s="125">
        <f t="shared" si="335"/>
        <v>123.99159890159116</v>
      </c>
      <c r="AH385" s="292">
        <f t="shared" si="336"/>
        <v>34.851568097631777</v>
      </c>
      <c r="AI385" s="119">
        <f t="shared" si="337"/>
        <v>26.247668421886306</v>
      </c>
      <c r="AJ385" s="119">
        <f t="shared" si="338"/>
        <v>10.0135255570118</v>
      </c>
      <c r="AK385" s="175"/>
      <c r="AL385" s="28"/>
      <c r="AM385" s="108"/>
      <c r="AN385" s="260"/>
      <c r="AO385" s="102"/>
      <c r="AP385" s="120"/>
      <c r="AQ385" s="120"/>
      <c r="AR385" s="119"/>
      <c r="AS385" s="123"/>
      <c r="AT385" s="123"/>
      <c r="AU385" s="124"/>
      <c r="AV385" s="124"/>
      <c r="AW385" s="108"/>
      <c r="AX385" s="102"/>
      <c r="AY385" s="102"/>
      <c r="AZ385" s="119"/>
      <c r="BA385" s="123"/>
      <c r="BB385" s="123"/>
      <c r="BC385" s="108"/>
      <c r="BD385" s="108"/>
      <c r="BE385" s="260"/>
      <c r="BF385" s="102"/>
      <c r="BG385" s="120"/>
      <c r="BH385" s="102"/>
      <c r="BI385" s="261"/>
      <c r="BJ385" s="119"/>
      <c r="BK385" s="261"/>
      <c r="BL385" s="102"/>
      <c r="BM385" s="119"/>
      <c r="BN385" s="123"/>
      <c r="BO385" s="123"/>
      <c r="BP385" s="123"/>
      <c r="BQ385" s="108"/>
      <c r="BR385" s="108"/>
      <c r="BS385" s="124"/>
      <c r="BT385" s="108"/>
      <c r="BU385" s="260"/>
      <c r="BV385" s="102"/>
      <c r="BW385" s="120"/>
      <c r="BX385" s="120"/>
      <c r="BY385" s="254"/>
      <c r="BZ385" s="254"/>
      <c r="CA385" s="253"/>
      <c r="CB385" s="256"/>
      <c r="CC385" s="256"/>
      <c r="CD385" s="257"/>
      <c r="CE385" s="255"/>
      <c r="CF385" s="255"/>
      <c r="CG385" s="126"/>
      <c r="CH385" s="209"/>
      <c r="CI385" s="256"/>
      <c r="CJ385" s="208"/>
      <c r="CK385" s="208"/>
      <c r="CL385" s="254"/>
      <c r="CM385" s="209"/>
      <c r="CN385" s="254"/>
      <c r="CO385" s="28"/>
      <c r="CP385" s="28"/>
      <c r="CQ385" s="28"/>
      <c r="CR385" s="28"/>
      <c r="CS385" s="28"/>
      <c r="CT385" s="28"/>
      <c r="CU385" s="28"/>
      <c r="CV385" s="28"/>
    </row>
    <row r="386" spans="1:100" ht="12" customHeight="1" x14ac:dyDescent="0.2">
      <c r="A386" s="200" t="s">
        <v>364</v>
      </c>
      <c r="B386" s="37">
        <f t="shared" si="339"/>
        <v>161.00127538118977</v>
      </c>
      <c r="C386" s="161">
        <f t="shared" si="340"/>
        <v>1.2129032258064519E-2</v>
      </c>
      <c r="D386" s="26">
        <f t="shared" si="341"/>
        <v>0.10916129032258068</v>
      </c>
      <c r="E386" s="118">
        <v>0</v>
      </c>
      <c r="F386" s="118">
        <f t="shared" si="314"/>
        <v>0.11711455285114786</v>
      </c>
      <c r="G386" s="147">
        <f t="shared" si="342"/>
        <v>465.34596035380866</v>
      </c>
      <c r="H386" s="148">
        <f t="shared" si="315"/>
        <v>0.45936231320107368</v>
      </c>
      <c r="I386" s="149">
        <f t="shared" si="316"/>
        <v>0.42743152897871561</v>
      </c>
      <c r="J386" s="150">
        <f t="shared" si="317"/>
        <v>5.7958670916599058</v>
      </c>
      <c r="K386" s="151">
        <f t="shared" si="318"/>
        <v>2.4440843982471892E-5</v>
      </c>
      <c r="L386" s="151">
        <f t="shared" si="319"/>
        <v>3.4373475141600751E-5</v>
      </c>
      <c r="M386" s="152">
        <f t="shared" si="320"/>
        <v>750.54971808681944</v>
      </c>
      <c r="N386" s="153">
        <f t="shared" si="321"/>
        <v>9.3565090284622399E-2</v>
      </c>
      <c r="O386" s="154">
        <f t="shared" si="322"/>
        <v>0.90359343467725883</v>
      </c>
      <c r="P386" s="155">
        <f t="shared" si="323"/>
        <v>0.68611829347410302</v>
      </c>
      <c r="Q386" s="154">
        <f t="shared" si="324"/>
        <v>5.3500406888954841E-2</v>
      </c>
      <c r="R386" s="154">
        <f t="shared" si="343"/>
        <v>0.44608796465073841</v>
      </c>
      <c r="S386" s="154">
        <f t="shared" si="344"/>
        <v>0.30319039186526825</v>
      </c>
      <c r="T386" s="154">
        <f t="shared" si="325"/>
        <v>7.5857843246396364</v>
      </c>
      <c r="U386" s="154">
        <f t="shared" si="326"/>
        <v>41.882099901443766</v>
      </c>
      <c r="V386" s="157">
        <f t="shared" si="327"/>
        <v>4.7065136369288396</v>
      </c>
      <c r="W386" s="158">
        <f t="shared" si="328"/>
        <v>4.7579466180714347E-2</v>
      </c>
      <c r="X386" s="157">
        <f t="shared" si="329"/>
        <v>21.813371080055646</v>
      </c>
      <c r="Y386" s="143">
        <f t="shared" si="330"/>
        <v>454.43927481378086</v>
      </c>
      <c r="Z386" s="157">
        <f t="shared" si="331"/>
        <v>4.5378480851303786</v>
      </c>
      <c r="AA386" s="158">
        <f t="shared" si="332"/>
        <v>4.4457067851555607E-2</v>
      </c>
      <c r="AB386" s="157">
        <f t="shared" si="333"/>
        <v>21.025150441136137</v>
      </c>
      <c r="AC386" s="157">
        <f t="shared" si="345"/>
        <v>128.57390405457309</v>
      </c>
      <c r="AD386" s="123">
        <f t="shared" si="346"/>
        <v>-0.10916129032258068</v>
      </c>
      <c r="AE386" s="108">
        <f t="shared" si="347"/>
        <v>161.00127538118977</v>
      </c>
      <c r="AF386" s="123">
        <f t="shared" si="334"/>
        <v>444.32080991267253</v>
      </c>
      <c r="AG386" s="125">
        <f t="shared" si="335"/>
        <v>128.57390405457309</v>
      </c>
      <c r="AH386" s="292">
        <f t="shared" si="336"/>
        <v>32.443905015136579</v>
      </c>
      <c r="AI386" s="119">
        <f t="shared" si="337"/>
        <v>29.528626974622092</v>
      </c>
      <c r="AJ386" s="119">
        <f t="shared" si="338"/>
        <v>11.265216251638275</v>
      </c>
      <c r="AK386" s="175"/>
      <c r="AL386" s="28"/>
      <c r="AM386" s="108"/>
      <c r="AN386" s="260"/>
      <c r="AO386" s="102"/>
      <c r="AP386" s="120"/>
      <c r="AQ386" s="120"/>
      <c r="AR386" s="119"/>
      <c r="AS386" s="123"/>
      <c r="AT386" s="123"/>
      <c r="AU386" s="124"/>
      <c r="AV386" s="124"/>
      <c r="AW386" s="108"/>
      <c r="AX386" s="102"/>
      <c r="AY386" s="102"/>
      <c r="AZ386" s="119"/>
      <c r="BA386" s="123"/>
      <c r="BB386" s="123"/>
      <c r="BC386" s="108"/>
      <c r="BD386" s="108"/>
      <c r="BE386" s="260"/>
      <c r="BF386" s="102"/>
      <c r="BG386" s="120"/>
      <c r="BH386" s="102"/>
      <c r="BI386" s="261"/>
      <c r="BJ386" s="119"/>
      <c r="BK386" s="261"/>
      <c r="BL386" s="102"/>
      <c r="BM386" s="119"/>
      <c r="BN386" s="123"/>
      <c r="BO386" s="123"/>
      <c r="BP386" s="123"/>
      <c r="BQ386" s="108"/>
      <c r="BR386" s="108"/>
      <c r="BS386" s="124"/>
      <c r="BT386" s="108"/>
      <c r="BU386" s="260"/>
      <c r="BV386" s="102"/>
      <c r="BW386" s="120"/>
      <c r="BX386" s="120"/>
      <c r="BY386" s="254"/>
      <c r="BZ386" s="254"/>
      <c r="CA386" s="253"/>
      <c r="CB386" s="256"/>
      <c r="CC386" s="256"/>
      <c r="CD386" s="257"/>
      <c r="CE386" s="255"/>
      <c r="CF386" s="255"/>
      <c r="CG386" s="126"/>
      <c r="CH386" s="209"/>
      <c r="CI386" s="256"/>
      <c r="CJ386" s="208"/>
      <c r="CK386" s="208"/>
      <c r="CL386" s="254"/>
      <c r="CM386" s="209"/>
      <c r="CN386" s="254"/>
      <c r="CO386" s="28"/>
      <c r="CP386" s="28"/>
      <c r="CQ386" s="28"/>
      <c r="CR386" s="28"/>
      <c r="CS386" s="28"/>
      <c r="CT386" s="28"/>
      <c r="CU386" s="28"/>
      <c r="CV386" s="28"/>
    </row>
    <row r="387" spans="1:100" ht="12" customHeight="1" x14ac:dyDescent="0.2">
      <c r="A387" s="200" t="s">
        <v>364</v>
      </c>
      <c r="B387" s="37">
        <f t="shared" si="339"/>
        <v>161.00127538118977</v>
      </c>
      <c r="C387" s="161">
        <f t="shared" si="340"/>
        <v>1.2129032258064519E-2</v>
      </c>
      <c r="D387" s="26">
        <f t="shared" si="341"/>
        <v>0.1212903225806452</v>
      </c>
      <c r="E387" s="118">
        <v>0</v>
      </c>
      <c r="F387" s="118">
        <f t="shared" si="314"/>
        <v>0.11645317869037629</v>
      </c>
      <c r="G387" s="147">
        <f t="shared" si="342"/>
        <v>444.32080991267253</v>
      </c>
      <c r="H387" s="148">
        <f t="shared" si="315"/>
        <v>0.47269874056642436</v>
      </c>
      <c r="I387" s="149">
        <f t="shared" si="316"/>
        <v>0.41537224248039589</v>
      </c>
      <c r="J387" s="150">
        <f t="shared" si="317"/>
        <v>5.6323461133841306</v>
      </c>
      <c r="K387" s="151">
        <f t="shared" si="318"/>
        <v>2.4440843982471892E-5</v>
      </c>
      <c r="L387" s="151">
        <f t="shared" si="319"/>
        <v>3.3739801639026505E-5</v>
      </c>
      <c r="M387" s="152">
        <f t="shared" si="320"/>
        <v>764.64593222004248</v>
      </c>
      <c r="N387" s="153">
        <f t="shared" si="321"/>
        <v>9.3036705625688013E-2</v>
      </c>
      <c r="O387" s="154">
        <f t="shared" si="322"/>
        <v>0.87314117041479367</v>
      </c>
      <c r="P387" s="155">
        <f t="shared" si="323"/>
        <v>0.68521985041166611</v>
      </c>
      <c r="Q387" s="154">
        <f t="shared" si="324"/>
        <v>5.2447698631517603E-2</v>
      </c>
      <c r="R387" s="154">
        <f t="shared" si="343"/>
        <v>0.43069320959663865</v>
      </c>
      <c r="S387" s="154">
        <f t="shared" si="344"/>
        <v>0.29214041410974084</v>
      </c>
      <c r="T387" s="154">
        <f t="shared" si="325"/>
        <v>7.3324531177410819</v>
      </c>
      <c r="U387" s="154">
        <f t="shared" si="326"/>
        <v>39.686847628861756</v>
      </c>
      <c r="V387" s="157">
        <f t="shared" si="327"/>
        <v>4.1517220889187945</v>
      </c>
      <c r="W387" s="158">
        <f t="shared" si="328"/>
        <v>4.1683213993963665E-2</v>
      </c>
      <c r="X387" s="157">
        <f t="shared" si="329"/>
        <v>19.240747704683994</v>
      </c>
      <c r="Y387" s="143">
        <f t="shared" si="330"/>
        <v>434.70043606033056</v>
      </c>
      <c r="Z387" s="157">
        <f t="shared" si="331"/>
        <v>4.0107465692022517</v>
      </c>
      <c r="AA387" s="158">
        <f t="shared" si="332"/>
        <v>3.9152540001517404E-2</v>
      </c>
      <c r="AB387" s="157">
        <f t="shared" si="333"/>
        <v>18.582293234448013</v>
      </c>
      <c r="AC387" s="157">
        <f t="shared" si="345"/>
        <v>132.62380316377687</v>
      </c>
      <c r="AD387" s="123">
        <f t="shared" si="346"/>
        <v>-0.1212903225806452</v>
      </c>
      <c r="AE387" s="108">
        <f t="shared" si="347"/>
        <v>161.00127538118977</v>
      </c>
      <c r="AF387" s="123">
        <f t="shared" si="334"/>
        <v>425.73851667822453</v>
      </c>
      <c r="AG387" s="125">
        <f t="shared" si="335"/>
        <v>132.62380316377687</v>
      </c>
      <c r="AH387" s="292">
        <f t="shared" si="336"/>
        <v>30.315982005313714</v>
      </c>
      <c r="AI387" s="119">
        <f t="shared" si="337"/>
        <v>32.809585527357889</v>
      </c>
      <c r="AJ387" s="119">
        <f t="shared" si="338"/>
        <v>12.516906946264751</v>
      </c>
      <c r="AK387" s="175"/>
      <c r="AL387" s="28"/>
      <c r="AM387" s="108"/>
      <c r="AN387" s="260"/>
      <c r="AO387" s="102"/>
      <c r="AP387" s="120"/>
      <c r="AQ387" s="120"/>
      <c r="AR387" s="119"/>
      <c r="AS387" s="123"/>
      <c r="AT387" s="123"/>
      <c r="AU387" s="124"/>
      <c r="AV387" s="124"/>
      <c r="AW387" s="108"/>
      <c r="AX387" s="102"/>
      <c r="AY387" s="102"/>
      <c r="AZ387" s="119"/>
      <c r="BA387" s="123"/>
      <c r="BB387" s="123"/>
      <c r="BC387" s="108"/>
      <c r="BD387" s="108"/>
      <c r="BE387" s="260"/>
      <c r="BF387" s="102"/>
      <c r="BG387" s="120"/>
      <c r="BH387" s="102"/>
      <c r="BI387" s="261"/>
      <c r="BJ387" s="119"/>
      <c r="BK387" s="261"/>
      <c r="BL387" s="102"/>
      <c r="BM387" s="119"/>
      <c r="BN387" s="123"/>
      <c r="BO387" s="123"/>
      <c r="BP387" s="123"/>
      <c r="BQ387" s="108"/>
      <c r="BR387" s="108"/>
      <c r="BS387" s="124"/>
      <c r="BT387" s="108"/>
      <c r="BU387" s="260"/>
      <c r="BV387" s="102"/>
      <c r="BW387" s="120"/>
      <c r="BX387" s="120"/>
      <c r="BY387" s="254"/>
      <c r="BZ387" s="254"/>
      <c r="CA387" s="253"/>
      <c r="CB387" s="256"/>
      <c r="CC387" s="256"/>
      <c r="CD387" s="257"/>
      <c r="CE387" s="255"/>
      <c r="CF387" s="255"/>
      <c r="CG387" s="126"/>
      <c r="CH387" s="209"/>
      <c r="CI387" s="256"/>
      <c r="CJ387" s="208"/>
      <c r="CK387" s="208"/>
      <c r="CL387" s="254"/>
      <c r="CM387" s="209"/>
      <c r="CN387" s="254"/>
      <c r="CO387" s="28"/>
      <c r="CP387" s="28"/>
      <c r="CQ387" s="28"/>
      <c r="CR387" s="28"/>
      <c r="CS387" s="28"/>
      <c r="CT387" s="28"/>
      <c r="CU387" s="28"/>
      <c r="CV387" s="28"/>
    </row>
    <row r="388" spans="1:100" ht="12" customHeight="1" x14ac:dyDescent="0.2">
      <c r="A388" s="200" t="s">
        <v>364</v>
      </c>
      <c r="B388" s="37">
        <f t="shared" si="339"/>
        <v>161.00127538118977</v>
      </c>
      <c r="C388" s="161">
        <f t="shared" si="340"/>
        <v>1.2129032258064519E-2</v>
      </c>
      <c r="D388" s="26">
        <f t="shared" si="341"/>
        <v>0.13341935483870973</v>
      </c>
      <c r="E388" s="118">
        <v>0</v>
      </c>
      <c r="F388" s="118">
        <f t="shared" si="314"/>
        <v>0.11585958839990211</v>
      </c>
      <c r="G388" s="147">
        <f t="shared" si="342"/>
        <v>425.73851667822453</v>
      </c>
      <c r="H388" s="148">
        <f t="shared" si="315"/>
        <v>0.48536582329229799</v>
      </c>
      <c r="I388" s="149">
        <f t="shared" si="316"/>
        <v>0.40453185301530953</v>
      </c>
      <c r="J388" s="150">
        <f t="shared" si="317"/>
        <v>5.48535308104608</v>
      </c>
      <c r="K388" s="151">
        <f t="shared" si="318"/>
        <v>2.4440843982471892E-5</v>
      </c>
      <c r="L388" s="151">
        <f t="shared" si="319"/>
        <v>3.3173265629259313E-5</v>
      </c>
      <c r="M388" s="152">
        <f t="shared" si="320"/>
        <v>777.70462412472398</v>
      </c>
      <c r="N388" s="153">
        <f t="shared" si="321"/>
        <v>9.2562474816892767E-2</v>
      </c>
      <c r="O388" s="154">
        <f t="shared" si="322"/>
        <v>0.84601946070542244</v>
      </c>
      <c r="P388" s="155">
        <f t="shared" si="323"/>
        <v>0.68449088211125564</v>
      </c>
      <c r="Q388" s="154">
        <f t="shared" si="324"/>
        <v>5.1517301791562026E-2</v>
      </c>
      <c r="R388" s="154">
        <f t="shared" si="343"/>
        <v>0.41722514735196664</v>
      </c>
      <c r="S388" s="154">
        <f t="shared" si="344"/>
        <v>0.2825445249052469</v>
      </c>
      <c r="T388" s="154">
        <f t="shared" si="325"/>
        <v>7.1123360607205584</v>
      </c>
      <c r="U388" s="154">
        <f t="shared" si="326"/>
        <v>37.81257473776575</v>
      </c>
      <c r="V388" s="157">
        <f t="shared" si="327"/>
        <v>3.6962083231935989</v>
      </c>
      <c r="W388" s="158">
        <f t="shared" si="328"/>
        <v>3.6886112841958273E-2</v>
      </c>
      <c r="X388" s="157">
        <f t="shared" si="329"/>
        <v>17.128687310913641</v>
      </c>
      <c r="Y388" s="143">
        <f t="shared" si="330"/>
        <v>417.17417302276772</v>
      </c>
      <c r="Z388" s="157">
        <f t="shared" si="331"/>
        <v>3.5766346729323111</v>
      </c>
      <c r="AA388" s="158">
        <f t="shared" si="332"/>
        <v>3.4800201349267527E-2</v>
      </c>
      <c r="AB388" s="157">
        <f t="shared" si="333"/>
        <v>16.570472503500493</v>
      </c>
      <c r="AC388" s="157">
        <f t="shared" si="345"/>
        <v>136.23523803805844</v>
      </c>
      <c r="AD388" s="123">
        <f t="shared" si="346"/>
        <v>-0.13341935483870973</v>
      </c>
      <c r="AE388" s="108">
        <f t="shared" si="347"/>
        <v>161.00127538118977</v>
      </c>
      <c r="AF388" s="123">
        <f t="shared" si="334"/>
        <v>409.16804417472406</v>
      </c>
      <c r="AG388" s="125">
        <f t="shared" si="335"/>
        <v>136.23523803805844</v>
      </c>
      <c r="AH388" s="292">
        <f t="shared" si="336"/>
        <v>28.418439582591137</v>
      </c>
      <c r="AI388" s="119">
        <f t="shared" si="337"/>
        <v>36.090544080093679</v>
      </c>
      <c r="AJ388" s="119">
        <f t="shared" si="338"/>
        <v>13.768597640891226</v>
      </c>
      <c r="AK388" s="175"/>
      <c r="AL388" s="28"/>
      <c r="AM388" s="108"/>
      <c r="AN388" s="260"/>
      <c r="AO388" s="102"/>
      <c r="AP388" s="120"/>
      <c r="AQ388" s="120"/>
      <c r="AR388" s="119"/>
      <c r="AS388" s="123"/>
      <c r="AT388" s="123"/>
      <c r="AU388" s="124"/>
      <c r="AV388" s="124"/>
      <c r="AW388" s="108"/>
      <c r="AX388" s="102"/>
      <c r="AY388" s="102"/>
      <c r="AZ388" s="119"/>
      <c r="BA388" s="123"/>
      <c r="BB388" s="123"/>
      <c r="BC388" s="108"/>
      <c r="BD388" s="108"/>
      <c r="BE388" s="260"/>
      <c r="BF388" s="102"/>
      <c r="BG388" s="120"/>
      <c r="BH388" s="102"/>
      <c r="BI388" s="261"/>
      <c r="BJ388" s="119"/>
      <c r="BK388" s="261"/>
      <c r="BL388" s="102"/>
      <c r="BM388" s="119"/>
      <c r="BN388" s="123"/>
      <c r="BO388" s="123"/>
      <c r="BP388" s="123"/>
      <c r="BQ388" s="108"/>
      <c r="BR388" s="108"/>
      <c r="BS388" s="124"/>
      <c r="BT388" s="108"/>
      <c r="BU388" s="260"/>
      <c r="BV388" s="102"/>
      <c r="BW388" s="120"/>
      <c r="BX388" s="120"/>
      <c r="BY388" s="254"/>
      <c r="BZ388" s="254"/>
      <c r="CA388" s="253"/>
      <c r="CB388" s="256"/>
      <c r="CC388" s="256"/>
      <c r="CD388" s="257"/>
      <c r="CE388" s="255"/>
      <c r="CF388" s="255"/>
      <c r="CG388" s="126"/>
      <c r="CH388" s="209"/>
      <c r="CI388" s="256"/>
      <c r="CJ388" s="208"/>
      <c r="CK388" s="208"/>
      <c r="CL388" s="254"/>
      <c r="CM388" s="209"/>
      <c r="CN388" s="254"/>
      <c r="CO388" s="28"/>
      <c r="CP388" s="28"/>
      <c r="CQ388" s="28"/>
      <c r="CR388" s="28"/>
      <c r="CS388" s="28"/>
      <c r="CT388" s="28"/>
      <c r="CU388" s="28"/>
      <c r="CV388" s="28"/>
    </row>
    <row r="389" spans="1:100" ht="12" customHeight="1" x14ac:dyDescent="0.2">
      <c r="A389" s="200" t="s">
        <v>364</v>
      </c>
      <c r="B389" s="37">
        <f t="shared" si="339"/>
        <v>161.00127538118977</v>
      </c>
      <c r="C389" s="161">
        <f t="shared" si="340"/>
        <v>1.2129032258064519E-2</v>
      </c>
      <c r="D389" s="26">
        <f t="shared" si="341"/>
        <v>0.14554838709677426</v>
      </c>
      <c r="E389" s="118">
        <v>0</v>
      </c>
      <c r="F389" s="118">
        <f t="shared" si="314"/>
        <v>0.11532299114687415</v>
      </c>
      <c r="G389" s="147">
        <f t="shared" si="342"/>
        <v>409.16804417472406</v>
      </c>
      <c r="H389" s="148">
        <f t="shared" si="315"/>
        <v>0.49744093004746537</v>
      </c>
      <c r="I389" s="149">
        <f t="shared" si="316"/>
        <v>0.39471206333584058</v>
      </c>
      <c r="J389" s="150">
        <f t="shared" si="317"/>
        <v>5.3521991324212701</v>
      </c>
      <c r="K389" s="151">
        <f t="shared" si="318"/>
        <v>2.4440843982471892E-5</v>
      </c>
      <c r="L389" s="151">
        <f t="shared" si="319"/>
        <v>3.2662931537653194E-5</v>
      </c>
      <c r="M389" s="152">
        <f t="shared" si="320"/>
        <v>789.85568234903076</v>
      </c>
      <c r="N389" s="153">
        <f t="shared" si="321"/>
        <v>9.213377685234643E-2</v>
      </c>
      <c r="O389" s="154">
        <f t="shared" si="322"/>
        <v>0.82165962282232829</v>
      </c>
      <c r="P389" s="155">
        <f t="shared" si="323"/>
        <v>0.68389628962681248</v>
      </c>
      <c r="Q389" s="154">
        <f t="shared" si="324"/>
        <v>5.0687634803784257E-2</v>
      </c>
      <c r="R389" s="154">
        <f t="shared" si="343"/>
        <v>0.40529785225635634</v>
      </c>
      <c r="S389" s="154">
        <f t="shared" si="344"/>
        <v>0.27409760620464302</v>
      </c>
      <c r="T389" s="154">
        <f t="shared" si="325"/>
        <v>6.9184134766771876</v>
      </c>
      <c r="U389" s="154">
        <f t="shared" si="326"/>
        <v>36.189235856323599</v>
      </c>
      <c r="V389" s="157">
        <f t="shared" si="327"/>
        <v>3.316104365597901</v>
      </c>
      <c r="W389" s="158">
        <f t="shared" si="328"/>
        <v>3.2919217492255487E-2</v>
      </c>
      <c r="X389" s="157">
        <f t="shared" si="329"/>
        <v>15.366441630270216</v>
      </c>
      <c r="Y389" s="143">
        <f t="shared" si="330"/>
        <v>401.48482335958897</v>
      </c>
      <c r="Z389" s="157">
        <f t="shared" si="331"/>
        <v>3.2134380730447707</v>
      </c>
      <c r="AA389" s="158">
        <f t="shared" si="332"/>
        <v>3.1175308179782285E-2</v>
      </c>
      <c r="AB389" s="157">
        <f t="shared" si="333"/>
        <v>14.887372662027202</v>
      </c>
      <c r="AC389" s="157">
        <f t="shared" si="345"/>
        <v>139.47985141928299</v>
      </c>
      <c r="AD389" s="123">
        <f t="shared" si="346"/>
        <v>-0.14554838709677426</v>
      </c>
      <c r="AE389" s="108">
        <f t="shared" si="347"/>
        <v>161.00127538118977</v>
      </c>
      <c r="AF389" s="123">
        <f t="shared" si="334"/>
        <v>394.28067151269687</v>
      </c>
      <c r="AG389" s="125">
        <f t="shared" si="335"/>
        <v>139.47985141928299</v>
      </c>
      <c r="AH389" s="292">
        <f t="shared" si="336"/>
        <v>26.713634774936491</v>
      </c>
      <c r="AI389" s="119">
        <f t="shared" si="337"/>
        <v>39.371502632829461</v>
      </c>
      <c r="AJ389" s="119">
        <f t="shared" si="338"/>
        <v>15.020288335517701</v>
      </c>
      <c r="AK389" s="175"/>
      <c r="AL389" s="28"/>
      <c r="AM389" s="108"/>
      <c r="AN389" s="260"/>
      <c r="AO389" s="102"/>
      <c r="AP389" s="120"/>
      <c r="AQ389" s="120"/>
      <c r="AR389" s="119"/>
      <c r="AS389" s="123"/>
      <c r="AT389" s="123"/>
      <c r="AU389" s="124"/>
      <c r="AV389" s="124"/>
      <c r="AW389" s="108"/>
      <c r="AX389" s="102"/>
      <c r="AY389" s="102"/>
      <c r="AZ389" s="119"/>
      <c r="BA389" s="123"/>
      <c r="BB389" s="123"/>
      <c r="BC389" s="108"/>
      <c r="BD389" s="108"/>
      <c r="BE389" s="260"/>
      <c r="BF389" s="102"/>
      <c r="BG389" s="120"/>
      <c r="BH389" s="102"/>
      <c r="BI389" s="261"/>
      <c r="BJ389" s="119"/>
      <c r="BK389" s="261"/>
      <c r="BL389" s="102"/>
      <c r="BM389" s="119"/>
      <c r="BN389" s="123"/>
      <c r="BO389" s="123"/>
      <c r="BP389" s="123"/>
      <c r="BQ389" s="108"/>
      <c r="BR389" s="108"/>
      <c r="BS389" s="124"/>
      <c r="BT389" s="108"/>
      <c r="BU389" s="260"/>
      <c r="BV389" s="102"/>
      <c r="BW389" s="120"/>
      <c r="BX389" s="120"/>
      <c r="BY389" s="254"/>
      <c r="BZ389" s="254"/>
      <c r="CA389" s="253"/>
      <c r="CB389" s="256"/>
      <c r="CC389" s="256"/>
      <c r="CD389" s="257"/>
      <c r="CE389" s="255"/>
      <c r="CF389" s="255"/>
      <c r="CG389" s="126"/>
      <c r="CH389" s="209"/>
      <c r="CI389" s="256"/>
      <c r="CJ389" s="208"/>
      <c r="CK389" s="208"/>
      <c r="CL389" s="254"/>
      <c r="CM389" s="209"/>
      <c r="CN389" s="254"/>
      <c r="CO389" s="28"/>
      <c r="CP389" s="28"/>
      <c r="CQ389" s="28"/>
      <c r="CR389" s="28"/>
      <c r="CS389" s="28"/>
      <c r="CT389" s="28"/>
      <c r="CU389" s="28"/>
      <c r="CV389" s="28"/>
    </row>
    <row r="390" spans="1:100" ht="12" customHeight="1" x14ac:dyDescent="0.2">
      <c r="A390" s="200" t="s">
        <v>364</v>
      </c>
      <c r="B390" s="37">
        <f t="shared" si="339"/>
        <v>161.00127538118977</v>
      </c>
      <c r="C390" s="161">
        <f t="shared" si="340"/>
        <v>1.2129032258064519E-2</v>
      </c>
      <c r="D390" s="26">
        <f t="shared" si="341"/>
        <v>0.15767741935483878</v>
      </c>
      <c r="E390" s="118">
        <v>0</v>
      </c>
      <c r="F390" s="118">
        <f t="shared" si="314"/>
        <v>0.11483497374449946</v>
      </c>
      <c r="G390" s="147">
        <f t="shared" si="342"/>
        <v>394.28067151269687</v>
      </c>
      <c r="H390" s="148">
        <f t="shared" si="315"/>
        <v>0.50898510966220523</v>
      </c>
      <c r="I390" s="149">
        <f t="shared" si="316"/>
        <v>0.38575968561642632</v>
      </c>
      <c r="J390" s="150">
        <f t="shared" si="317"/>
        <v>5.2308070780259426</v>
      </c>
      <c r="K390" s="151">
        <f t="shared" si="318"/>
        <v>2.4440843982471892E-5</v>
      </c>
      <c r="L390" s="151">
        <f t="shared" si="319"/>
        <v>3.2200305216768976E-5</v>
      </c>
      <c r="M390" s="152">
        <f t="shared" si="320"/>
        <v>801.2036501988614</v>
      </c>
      <c r="N390" s="153">
        <f t="shared" si="321"/>
        <v>9.1743890273761355E-2</v>
      </c>
      <c r="O390" s="154">
        <f t="shared" si="322"/>
        <v>0.79962555008364522</v>
      </c>
      <c r="P390" s="155">
        <f t="shared" si="323"/>
        <v>0.68340949818232266</v>
      </c>
      <c r="Q390" s="154">
        <f t="shared" si="324"/>
        <v>4.9942238941969218E-2</v>
      </c>
      <c r="R390" s="154">
        <f t="shared" si="343"/>
        <v>0.39462713560566193</v>
      </c>
      <c r="S390" s="154">
        <f t="shared" si="344"/>
        <v>0.26657853579732871</v>
      </c>
      <c r="T390" s="154">
        <f t="shared" si="325"/>
        <v>6.7456077545939808</v>
      </c>
      <c r="U390" s="154">
        <f t="shared" si="326"/>
        <v>34.766419387542392</v>
      </c>
      <c r="V390" s="157">
        <f t="shared" si="327"/>
        <v>2.9946184672558913</v>
      </c>
      <c r="W390" s="158">
        <f t="shared" si="328"/>
        <v>2.9593383954235292E-2</v>
      </c>
      <c r="X390" s="157">
        <f t="shared" si="329"/>
        <v>13.876096640177295</v>
      </c>
      <c r="Y390" s="143">
        <f t="shared" si="330"/>
        <v>387.34262319260824</v>
      </c>
      <c r="Z390" s="157">
        <f t="shared" si="331"/>
        <v>2.9055544180059587</v>
      </c>
      <c r="AA390" s="158">
        <f t="shared" si="332"/>
        <v>2.8117561159329146E-2</v>
      </c>
      <c r="AB390" s="157">
        <f t="shared" si="333"/>
        <v>13.460669389675401</v>
      </c>
      <c r="AC390" s="157">
        <f t="shared" si="345"/>
        <v>142.41352339844829</v>
      </c>
      <c r="AD390" s="123">
        <f t="shared" si="346"/>
        <v>-0.15767741935483878</v>
      </c>
      <c r="AE390" s="108">
        <f t="shared" si="347"/>
        <v>161.00127538118977</v>
      </c>
      <c r="AF390" s="123">
        <f t="shared" si="334"/>
        <v>380.82000212302148</v>
      </c>
      <c r="AG390" s="125">
        <f t="shared" si="335"/>
        <v>142.41352339844829</v>
      </c>
      <c r="AH390" s="292">
        <f t="shared" si="336"/>
        <v>25.172206719716183</v>
      </c>
      <c r="AI390" s="119">
        <f t="shared" si="337"/>
        <v>42.652461185565251</v>
      </c>
      <c r="AJ390" s="119">
        <f t="shared" si="338"/>
        <v>16.271979030144177</v>
      </c>
      <c r="AK390" s="175"/>
      <c r="AL390" s="28"/>
      <c r="AM390" s="108"/>
      <c r="AN390" s="260"/>
      <c r="AO390" s="102"/>
      <c r="AP390" s="120"/>
      <c r="AQ390" s="120"/>
      <c r="AR390" s="119"/>
      <c r="AS390" s="123"/>
      <c r="AT390" s="123"/>
      <c r="AU390" s="124"/>
      <c r="AV390" s="124"/>
      <c r="AW390" s="108"/>
      <c r="AX390" s="102"/>
      <c r="AY390" s="102"/>
      <c r="AZ390" s="119"/>
      <c r="BA390" s="123"/>
      <c r="BB390" s="123"/>
      <c r="BC390" s="108"/>
      <c r="BD390" s="108"/>
      <c r="BE390" s="260"/>
      <c r="BF390" s="102"/>
      <c r="BG390" s="120"/>
      <c r="BH390" s="102"/>
      <c r="BI390" s="261"/>
      <c r="BJ390" s="119"/>
      <c r="BK390" s="261"/>
      <c r="BL390" s="102"/>
      <c r="BM390" s="119"/>
      <c r="BN390" s="123"/>
      <c r="BO390" s="123"/>
      <c r="BP390" s="123"/>
      <c r="BQ390" s="108"/>
      <c r="BR390" s="108"/>
      <c r="BS390" s="124"/>
      <c r="BT390" s="108"/>
      <c r="BU390" s="260"/>
      <c r="BV390" s="102"/>
      <c r="BW390" s="120"/>
      <c r="BX390" s="120"/>
      <c r="BY390" s="254"/>
      <c r="BZ390" s="254"/>
      <c r="CA390" s="253"/>
      <c r="CB390" s="256"/>
      <c r="CC390" s="256"/>
      <c r="CD390" s="257"/>
      <c r="CE390" s="255"/>
      <c r="CF390" s="255"/>
      <c r="CG390" s="126"/>
      <c r="CH390" s="209"/>
      <c r="CI390" s="256"/>
      <c r="CJ390" s="208"/>
      <c r="CK390" s="208"/>
      <c r="CL390" s="254"/>
      <c r="CM390" s="209"/>
      <c r="CN390" s="254"/>
      <c r="CO390" s="28"/>
      <c r="CP390" s="28"/>
      <c r="CQ390" s="28"/>
      <c r="CR390" s="28"/>
      <c r="CS390" s="28"/>
      <c r="CT390" s="28"/>
      <c r="CU390" s="28"/>
      <c r="CV390" s="28"/>
    </row>
    <row r="391" spans="1:100" ht="12" customHeight="1" x14ac:dyDescent="0.2">
      <c r="A391" s="200" t="s">
        <v>364</v>
      </c>
      <c r="B391" s="37">
        <f t="shared" si="339"/>
        <v>161.00127538118977</v>
      </c>
      <c r="C391" s="161">
        <f t="shared" si="340"/>
        <v>1.2129032258064519E-2</v>
      </c>
      <c r="D391" s="26">
        <f t="shared" si="341"/>
        <v>0.16980645161290331</v>
      </c>
      <c r="E391" s="118">
        <v>0</v>
      </c>
      <c r="F391" s="118">
        <f t="shared" si="314"/>
        <v>0.11438883974947231</v>
      </c>
      <c r="G391" s="147">
        <f t="shared" si="342"/>
        <v>380.82000212302148</v>
      </c>
      <c r="H391" s="148">
        <f t="shared" si="315"/>
        <v>0.52004766183589524</v>
      </c>
      <c r="I391" s="149">
        <f t="shared" si="316"/>
        <v>0.37755373265901337</v>
      </c>
      <c r="J391" s="150">
        <f t="shared" si="317"/>
        <v>5.1195363610172606</v>
      </c>
      <c r="K391" s="151">
        <f t="shared" si="318"/>
        <v>2.4440843982471892E-5</v>
      </c>
      <c r="L391" s="151">
        <f t="shared" si="319"/>
        <v>3.1778650385872877E-5</v>
      </c>
      <c r="M391" s="152">
        <f t="shared" si="320"/>
        <v>811.83441599715093</v>
      </c>
      <c r="N391" s="153">
        <f t="shared" si="321"/>
        <v>9.1387465162555845E-2</v>
      </c>
      <c r="O391" s="154">
        <f t="shared" si="322"/>
        <v>0.77957530114340257</v>
      </c>
      <c r="P391" s="155">
        <f t="shared" si="323"/>
        <v>0.68301004828644174</v>
      </c>
      <c r="Q391" s="154">
        <f t="shared" si="324"/>
        <v>4.926827668629756E-2</v>
      </c>
      <c r="R391" s="154">
        <f t="shared" si="343"/>
        <v>0.38499822578092452</v>
      </c>
      <c r="S391" s="154">
        <f t="shared" si="344"/>
        <v>0.25982239805933904</v>
      </c>
      <c r="T391" s="154">
        <f t="shared" si="325"/>
        <v>6.5901390707925662</v>
      </c>
      <c r="U391" s="154">
        <f t="shared" si="326"/>
        <v>33.506789999215471</v>
      </c>
      <c r="V391" s="157">
        <f t="shared" si="327"/>
        <v>2.7195851621011675</v>
      </c>
      <c r="W391" s="158">
        <f t="shared" si="328"/>
        <v>2.6771884796355134E-2</v>
      </c>
      <c r="X391" s="157">
        <f t="shared" si="329"/>
        <v>12.601205757438221</v>
      </c>
      <c r="Y391" s="143">
        <f t="shared" si="330"/>
        <v>374.51939924430235</v>
      </c>
      <c r="Z391" s="157">
        <f t="shared" si="331"/>
        <v>2.6416344508254128</v>
      </c>
      <c r="AA391" s="158">
        <f t="shared" si="332"/>
        <v>2.5509695575429991E-2</v>
      </c>
      <c r="AB391" s="157">
        <f t="shared" si="333"/>
        <v>12.237750445271237</v>
      </c>
      <c r="AC391" s="157">
        <f t="shared" si="345"/>
        <v>145.08066754484912</v>
      </c>
      <c r="AD391" s="123">
        <f t="shared" si="346"/>
        <v>-0.16980645161290331</v>
      </c>
      <c r="AE391" s="108">
        <f t="shared" si="347"/>
        <v>161.00127538118977</v>
      </c>
      <c r="AF391" s="123">
        <f t="shared" si="334"/>
        <v>368.58225167775026</v>
      </c>
      <c r="AG391" s="125">
        <f t="shared" si="335"/>
        <v>145.08066754484912</v>
      </c>
      <c r="AH391" s="292">
        <f t="shared" si="336"/>
        <v>23.77081936496883</v>
      </c>
      <c r="AI391" s="119">
        <f t="shared" si="337"/>
        <v>45.933419738301048</v>
      </c>
      <c r="AJ391" s="119">
        <f t="shared" si="338"/>
        <v>17.523669724770652</v>
      </c>
      <c r="AK391" s="175"/>
      <c r="AL391" s="28"/>
      <c r="AM391" s="108"/>
      <c r="AN391" s="260"/>
      <c r="AO391" s="102"/>
      <c r="AP391" s="120"/>
      <c r="AQ391" s="120"/>
      <c r="AR391" s="119"/>
      <c r="AS391" s="123"/>
      <c r="AT391" s="123"/>
      <c r="AU391" s="124"/>
      <c r="AV391" s="124"/>
      <c r="AW391" s="108"/>
      <c r="AX391" s="102"/>
      <c r="AY391" s="102"/>
      <c r="AZ391" s="119"/>
      <c r="BA391" s="123"/>
      <c r="BB391" s="123"/>
      <c r="BC391" s="108"/>
      <c r="BD391" s="108"/>
      <c r="BE391" s="260"/>
      <c r="BF391" s="102"/>
      <c r="BG391" s="120"/>
      <c r="BH391" s="102"/>
      <c r="BI391" s="261"/>
      <c r="BJ391" s="119"/>
      <c r="BK391" s="261"/>
      <c r="BL391" s="102"/>
      <c r="BM391" s="119"/>
      <c r="BN391" s="123"/>
      <c r="BO391" s="123"/>
      <c r="BP391" s="123"/>
      <c r="BQ391" s="108"/>
      <c r="BR391" s="108"/>
      <c r="BS391" s="124"/>
      <c r="BT391" s="108"/>
      <c r="BU391" s="260"/>
      <c r="BV391" s="102"/>
      <c r="BW391" s="120"/>
      <c r="BX391" s="120"/>
      <c r="BY391" s="254"/>
      <c r="BZ391" s="254"/>
      <c r="CA391" s="253"/>
      <c r="CB391" s="256"/>
      <c r="CC391" s="256"/>
      <c r="CD391" s="257"/>
      <c r="CE391" s="255"/>
      <c r="CF391" s="255"/>
      <c r="CG391" s="126"/>
      <c r="CH391" s="209"/>
      <c r="CI391" s="256"/>
      <c r="CJ391" s="208"/>
      <c r="CK391" s="208"/>
      <c r="CL391" s="254"/>
      <c r="CM391" s="209"/>
      <c r="CN391" s="254"/>
      <c r="CO391" s="28"/>
      <c r="CP391" s="28"/>
      <c r="CQ391" s="28"/>
      <c r="CR391" s="28"/>
      <c r="CS391" s="28"/>
      <c r="CT391" s="28"/>
      <c r="CU391" s="28"/>
      <c r="CV391" s="28"/>
    </row>
    <row r="392" spans="1:100" ht="12" customHeight="1" x14ac:dyDescent="0.2">
      <c r="A392" s="200" t="s">
        <v>364</v>
      </c>
      <c r="B392" s="37">
        <f t="shared" si="339"/>
        <v>161.00127538118977</v>
      </c>
      <c r="C392" s="161">
        <f t="shared" si="340"/>
        <v>1.2129032258064519E-2</v>
      </c>
      <c r="D392" s="26">
        <f t="shared" si="341"/>
        <v>0.18193548387096783</v>
      </c>
      <c r="E392" s="118">
        <v>0</v>
      </c>
      <c r="F392" s="118">
        <f t="shared" si="314"/>
        <v>0.11397916648826795</v>
      </c>
      <c r="G392" s="147">
        <f t="shared" si="342"/>
        <v>368.58225167775026</v>
      </c>
      <c r="H392" s="148">
        <f t="shared" si="315"/>
        <v>0.53066918393215101</v>
      </c>
      <c r="I392" s="149">
        <f t="shared" si="316"/>
        <v>0.36999686778842328</v>
      </c>
      <c r="J392" s="150">
        <f t="shared" si="317"/>
        <v>5.0170671198636567</v>
      </c>
      <c r="K392" s="151">
        <f t="shared" si="318"/>
        <v>2.4440843982471892E-5</v>
      </c>
      <c r="L392" s="151">
        <f t="shared" si="319"/>
        <v>3.1392531384833691E-5</v>
      </c>
      <c r="M392" s="152">
        <f t="shared" si="320"/>
        <v>821.81974307610983</v>
      </c>
      <c r="N392" s="153">
        <f t="shared" si="321"/>
        <v>9.1060169239558966E-2</v>
      </c>
      <c r="O392" s="154">
        <f t="shared" si="322"/>
        <v>0.76123574354799495</v>
      </c>
      <c r="P392" s="155">
        <f t="shared" si="323"/>
        <v>0.68268196245991764</v>
      </c>
      <c r="Q392" s="154">
        <f t="shared" si="324"/>
        <v>4.865554475925328E-2</v>
      </c>
      <c r="R392" s="154">
        <f t="shared" si="343"/>
        <v>0.37624522504963326</v>
      </c>
      <c r="S392" s="154">
        <f t="shared" si="344"/>
        <v>0.25370321481155522</v>
      </c>
      <c r="T392" s="154">
        <f t="shared" si="325"/>
        <v>6.4491253691209067</v>
      </c>
      <c r="U392" s="154">
        <f t="shared" si="326"/>
        <v>32.382027067200752</v>
      </c>
      <c r="V392" s="157">
        <f t="shared" si="327"/>
        <v>2.4819711724045592</v>
      </c>
      <c r="W392" s="158">
        <f t="shared" si="328"/>
        <v>2.4353559399654022E-2</v>
      </c>
      <c r="X392" s="157">
        <f t="shared" si="329"/>
        <v>11.499857120216438</v>
      </c>
      <c r="Y392" s="143">
        <f t="shared" si="330"/>
        <v>362.83232311764203</v>
      </c>
      <c r="Z392" s="157">
        <f t="shared" si="331"/>
        <v>2.4132213419326867</v>
      </c>
      <c r="AA392" s="158">
        <f t="shared" si="332"/>
        <v>2.326405926008978E-2</v>
      </c>
      <c r="AB392" s="157">
        <f t="shared" si="333"/>
        <v>11.179410885452226</v>
      </c>
      <c r="AC392" s="157">
        <f t="shared" si="345"/>
        <v>147.5171529460419</v>
      </c>
      <c r="AD392" s="123">
        <f t="shared" si="346"/>
        <v>-0.18193548387096783</v>
      </c>
      <c r="AE392" s="108">
        <f t="shared" si="347"/>
        <v>161.00127538118977</v>
      </c>
      <c r="AF392" s="123">
        <f t="shared" si="334"/>
        <v>357.40284079229804</v>
      </c>
      <c r="AG392" s="125">
        <f t="shared" si="335"/>
        <v>147.5171529460419</v>
      </c>
      <c r="AH392" s="292">
        <f t="shared" si="336"/>
        <v>22.490626153114988</v>
      </c>
      <c r="AI392" s="119">
        <f t="shared" si="337"/>
        <v>49.214378291036837</v>
      </c>
      <c r="AJ392" s="119">
        <f t="shared" si="338"/>
        <v>18.775360419397128</v>
      </c>
      <c r="AK392" s="175"/>
      <c r="AL392" s="28"/>
      <c r="AM392" s="108"/>
      <c r="AN392" s="260"/>
      <c r="AO392" s="102"/>
      <c r="AP392" s="120"/>
      <c r="AQ392" s="120"/>
      <c r="AR392" s="119"/>
      <c r="AS392" s="123"/>
      <c r="AT392" s="123"/>
      <c r="AU392" s="124"/>
      <c r="AV392" s="124"/>
      <c r="AW392" s="108"/>
      <c r="AX392" s="102"/>
      <c r="AY392" s="102"/>
      <c r="AZ392" s="119"/>
      <c r="BA392" s="123"/>
      <c r="BB392" s="123"/>
      <c r="BC392" s="108"/>
      <c r="BD392" s="108"/>
      <c r="BE392" s="260"/>
      <c r="BF392" s="102"/>
      <c r="BG392" s="120"/>
      <c r="BH392" s="102"/>
      <c r="BI392" s="261"/>
      <c r="BJ392" s="119"/>
      <c r="BK392" s="261"/>
      <c r="BL392" s="102"/>
      <c r="BM392" s="119"/>
      <c r="BN392" s="123"/>
      <c r="BO392" s="123"/>
      <c r="BP392" s="123"/>
      <c r="BQ392" s="108"/>
      <c r="BR392" s="108"/>
      <c r="BS392" s="124"/>
      <c r="BT392" s="108"/>
      <c r="BU392" s="260"/>
      <c r="BV392" s="102"/>
      <c r="BW392" s="120"/>
      <c r="BX392" s="120"/>
      <c r="BY392" s="254"/>
      <c r="BZ392" s="254"/>
      <c r="CA392" s="253"/>
      <c r="CB392" s="256"/>
      <c r="CC392" s="256"/>
      <c r="CD392" s="257"/>
      <c r="CE392" s="255"/>
      <c r="CF392" s="255"/>
      <c r="CG392" s="126"/>
      <c r="CH392" s="209"/>
      <c r="CI392" s="256"/>
      <c r="CJ392" s="208"/>
      <c r="CK392" s="208"/>
      <c r="CL392" s="254"/>
      <c r="CM392" s="209"/>
      <c r="CN392" s="254"/>
      <c r="CO392" s="28"/>
      <c r="CP392" s="28"/>
      <c r="CQ392" s="28"/>
      <c r="CR392" s="28"/>
      <c r="CS392" s="28"/>
      <c r="CT392" s="28"/>
      <c r="CU392" s="28"/>
      <c r="CV392" s="28"/>
    </row>
    <row r="393" spans="1:100" ht="12" customHeight="1" x14ac:dyDescent="0.2">
      <c r="A393" s="200" t="s">
        <v>364</v>
      </c>
      <c r="B393" s="37">
        <f t="shared" si="339"/>
        <v>161.00127538118977</v>
      </c>
      <c r="C393" s="161">
        <f t="shared" si="340"/>
        <v>1.2129032258064519E-2</v>
      </c>
      <c r="D393" s="26">
        <f t="shared" si="341"/>
        <v>0.19406451612903236</v>
      </c>
      <c r="E393" s="118">
        <v>0</v>
      </c>
      <c r="F393" s="118">
        <f t="shared" si="314"/>
        <v>0.11360149814649131</v>
      </c>
      <c r="G393" s="147">
        <f t="shared" si="342"/>
        <v>357.40284079229804</v>
      </c>
      <c r="H393" s="148">
        <f t="shared" si="315"/>
        <v>0.54088367279884497</v>
      </c>
      <c r="I393" s="149">
        <f t="shared" si="316"/>
        <v>0.36300954486336612</v>
      </c>
      <c r="J393" s="150">
        <f t="shared" si="317"/>
        <v>4.9223207283260395</v>
      </c>
      <c r="K393" s="151">
        <f t="shared" si="318"/>
        <v>2.4440843982471892E-5</v>
      </c>
      <c r="L393" s="151">
        <f t="shared" si="319"/>
        <v>3.1037497028990618E-5</v>
      </c>
      <c r="M393" s="152">
        <f t="shared" si="320"/>
        <v>831.22044451893612</v>
      </c>
      <c r="N393" s="153">
        <f t="shared" si="321"/>
        <v>9.0758442668132058E-2</v>
      </c>
      <c r="O393" s="154">
        <f t="shared" si="322"/>
        <v>0.74438523650194632</v>
      </c>
      <c r="P393" s="155">
        <f t="shared" si="323"/>
        <v>0.6824126088527136</v>
      </c>
      <c r="Q393" s="154">
        <f t="shared" si="324"/>
        <v>4.8095802835629572E-2</v>
      </c>
      <c r="R393" s="154">
        <f t="shared" si="343"/>
        <v>0.36823757209461255</v>
      </c>
      <c r="S393" s="154">
        <f t="shared" si="344"/>
        <v>0.24812277776930142</v>
      </c>
      <c r="T393" s="154">
        <f t="shared" si="325"/>
        <v>6.3203239314402451</v>
      </c>
      <c r="U393" s="154">
        <f t="shared" si="326"/>
        <v>31.370207294223373</v>
      </c>
      <c r="V393" s="157">
        <f t="shared" si="327"/>
        <v>2.2749271028661986</v>
      </c>
      <c r="W393" s="158">
        <f t="shared" si="328"/>
        <v>2.226205409648585E-2</v>
      </c>
      <c r="X393" s="157">
        <f t="shared" si="329"/>
        <v>10.540273073140215</v>
      </c>
      <c r="Y393" s="143">
        <f t="shared" si="330"/>
        <v>352.1327042557279</v>
      </c>
      <c r="Z393" s="157">
        <f t="shared" si="331"/>
        <v>2.2138829028479705</v>
      </c>
      <c r="AA393" s="158">
        <f t="shared" si="332"/>
        <v>2.1313904210453819E-2</v>
      </c>
      <c r="AB393" s="157">
        <f t="shared" si="333"/>
        <v>10.255831413446636</v>
      </c>
      <c r="AC393" s="157">
        <f t="shared" si="345"/>
        <v>149.75234975310033</v>
      </c>
      <c r="AD393" s="123">
        <f t="shared" si="346"/>
        <v>-0.19406451612903236</v>
      </c>
      <c r="AE393" s="108">
        <f t="shared" si="347"/>
        <v>161.00127538118977</v>
      </c>
      <c r="AF393" s="123">
        <f t="shared" si="334"/>
        <v>347.14700937885141</v>
      </c>
      <c r="AG393" s="125">
        <f t="shared" si="335"/>
        <v>149.75234975310033</v>
      </c>
      <c r="AH393" s="292">
        <f t="shared" si="336"/>
        <v>21.31619523793168</v>
      </c>
      <c r="AI393" s="119">
        <f t="shared" si="337"/>
        <v>52.495336843772627</v>
      </c>
      <c r="AJ393" s="119">
        <f t="shared" si="338"/>
        <v>20.027051114023603</v>
      </c>
      <c r="AK393" s="175"/>
      <c r="AL393" s="28"/>
      <c r="AM393" s="108"/>
      <c r="AN393" s="260"/>
      <c r="AO393" s="102"/>
      <c r="AP393" s="120"/>
      <c r="AQ393" s="120"/>
      <c r="AR393" s="119"/>
      <c r="AS393" s="123"/>
      <c r="AT393" s="123"/>
      <c r="AU393" s="124"/>
      <c r="AV393" s="124"/>
      <c r="AW393" s="108"/>
      <c r="AX393" s="102"/>
      <c r="AY393" s="102"/>
      <c r="AZ393" s="119"/>
      <c r="BA393" s="123"/>
      <c r="BB393" s="123"/>
      <c r="BC393" s="108"/>
      <c r="BD393" s="108"/>
      <c r="BE393" s="260"/>
      <c r="BF393" s="102"/>
      <c r="BG393" s="120"/>
      <c r="BH393" s="102"/>
      <c r="BI393" s="261"/>
      <c r="BJ393" s="119"/>
      <c r="BK393" s="261"/>
      <c r="BL393" s="102"/>
      <c r="BM393" s="119"/>
      <c r="BN393" s="123"/>
      <c r="BO393" s="123"/>
      <c r="BP393" s="123"/>
      <c r="BQ393" s="108"/>
      <c r="BR393" s="108"/>
      <c r="BS393" s="124"/>
      <c r="BT393" s="108"/>
      <c r="BU393" s="260"/>
      <c r="BV393" s="102"/>
      <c r="BW393" s="120"/>
      <c r="BX393" s="120"/>
      <c r="BY393" s="254"/>
      <c r="BZ393" s="254"/>
      <c r="CA393" s="253"/>
      <c r="CB393" s="256"/>
      <c r="CC393" s="256"/>
      <c r="CD393" s="257"/>
      <c r="CE393" s="255"/>
      <c r="CF393" s="255"/>
      <c r="CG393" s="126"/>
      <c r="CH393" s="209"/>
      <c r="CI393" s="256"/>
      <c r="CJ393" s="208"/>
      <c r="CK393" s="208"/>
      <c r="CL393" s="254"/>
      <c r="CM393" s="209"/>
      <c r="CN393" s="254"/>
      <c r="CO393" s="28"/>
      <c r="CP393" s="28"/>
      <c r="CQ393" s="28"/>
      <c r="CR393" s="28"/>
      <c r="CS393" s="28"/>
      <c r="CT393" s="28"/>
      <c r="CU393" s="28"/>
      <c r="CV393" s="28"/>
    </row>
    <row r="394" spans="1:100" ht="12" customHeight="1" x14ac:dyDescent="0.2">
      <c r="A394" s="200" t="s">
        <v>364</v>
      </c>
      <c r="B394" s="37">
        <f t="shared" si="339"/>
        <v>161.00127538118977</v>
      </c>
      <c r="C394" s="161">
        <f t="shared" si="340"/>
        <v>1.2129032258064519E-2</v>
      </c>
      <c r="D394" s="26">
        <f t="shared" si="341"/>
        <v>0.20619354838709689</v>
      </c>
      <c r="E394" s="118">
        <v>0</v>
      </c>
      <c r="F394" s="118">
        <f t="shared" si="314"/>
        <v>0.11325212713430893</v>
      </c>
      <c r="G394" s="147">
        <f t="shared" si="342"/>
        <v>347.14700937885141</v>
      </c>
      <c r="H394" s="148">
        <f t="shared" si="315"/>
        <v>0.55072001690035444</v>
      </c>
      <c r="I394" s="149">
        <f t="shared" si="316"/>
        <v>0.35652587496608246</v>
      </c>
      <c r="J394" s="150">
        <f t="shared" si="317"/>
        <v>4.8344037487793017</v>
      </c>
      <c r="K394" s="151">
        <f t="shared" si="318"/>
        <v>2.4440843982471892E-5</v>
      </c>
      <c r="L394" s="151">
        <f t="shared" si="319"/>
        <v>3.0709855871942708E-5</v>
      </c>
      <c r="M394" s="152">
        <f t="shared" si="320"/>
        <v>840.08867331622207</v>
      </c>
      <c r="N394" s="153">
        <f t="shared" si="321"/>
        <v>9.0479323382766874E-2</v>
      </c>
      <c r="O394" s="154">
        <f t="shared" si="322"/>
        <v>0.72884146119694815</v>
      </c>
      <c r="P394" s="155">
        <f t="shared" si="323"/>
        <v>0.68219189288914583</v>
      </c>
      <c r="Q394" s="154">
        <f t="shared" si="324"/>
        <v>4.7582303612589708E-2</v>
      </c>
      <c r="R394" s="154">
        <f t="shared" si="343"/>
        <v>0.3608708431665919</v>
      </c>
      <c r="S394" s="154">
        <f t="shared" si="344"/>
        <v>0.24300318031826251</v>
      </c>
      <c r="T394" s="154">
        <f t="shared" si="325"/>
        <v>6.201958737246505</v>
      </c>
      <c r="U394" s="154">
        <f t="shared" si="326"/>
        <v>30.454060682701876</v>
      </c>
      <c r="V394" s="157">
        <f t="shared" si="327"/>
        <v>2.0931649205697966</v>
      </c>
      <c r="W394" s="158">
        <f t="shared" si="328"/>
        <v>2.0438731355671671E-2</v>
      </c>
      <c r="X394" s="157">
        <f t="shared" si="329"/>
        <v>9.6979213018472006</v>
      </c>
      <c r="Y394" s="143">
        <f t="shared" si="330"/>
        <v>342.29804872792783</v>
      </c>
      <c r="Z394" s="157">
        <f t="shared" si="331"/>
        <v>2.0386395005251776</v>
      </c>
      <c r="AA394" s="158">
        <f t="shared" si="332"/>
        <v>1.9607568549355824E-2</v>
      </c>
      <c r="AB394" s="157">
        <f t="shared" si="333"/>
        <v>9.443926763401695</v>
      </c>
      <c r="AC394" s="157">
        <f t="shared" si="345"/>
        <v>151.81059682217486</v>
      </c>
      <c r="AD394" s="123">
        <f t="shared" si="346"/>
        <v>-0.20619354838709689</v>
      </c>
      <c r="AE394" s="108">
        <f t="shared" si="347"/>
        <v>161.00127538118977</v>
      </c>
      <c r="AF394" s="123">
        <f t="shared" si="334"/>
        <v>337.70308261544972</v>
      </c>
      <c r="AG394" s="125">
        <f t="shared" si="335"/>
        <v>151.81059682217486</v>
      </c>
      <c r="AH394" s="292">
        <f t="shared" si="336"/>
        <v>20.234738347257377</v>
      </c>
      <c r="AI394" s="119">
        <f t="shared" si="337"/>
        <v>55.776295396508417</v>
      </c>
      <c r="AJ394" s="119">
        <f t="shared" si="338"/>
        <v>21.278741808650079</v>
      </c>
      <c r="AK394" s="175"/>
      <c r="AL394" s="28"/>
      <c r="AM394" s="108"/>
      <c r="AN394" s="260"/>
      <c r="AO394" s="102"/>
      <c r="AP394" s="120"/>
      <c r="AQ394" s="120"/>
      <c r="AR394" s="119"/>
      <c r="AS394" s="123"/>
      <c r="AT394" s="123"/>
      <c r="AU394" s="124"/>
      <c r="AV394" s="124"/>
      <c r="AW394" s="108"/>
      <c r="AX394" s="102"/>
      <c r="AY394" s="102"/>
      <c r="AZ394" s="119"/>
      <c r="BA394" s="123"/>
      <c r="BB394" s="123"/>
      <c r="BC394" s="108"/>
      <c r="BD394" s="108"/>
      <c r="BE394" s="260"/>
      <c r="BF394" s="102"/>
      <c r="BG394" s="120"/>
      <c r="BH394" s="102"/>
      <c r="BI394" s="261"/>
      <c r="BJ394" s="119"/>
      <c r="BK394" s="261"/>
      <c r="BL394" s="102"/>
      <c r="BM394" s="119"/>
      <c r="BN394" s="123"/>
      <c r="BO394" s="123"/>
      <c r="BP394" s="123"/>
      <c r="BQ394" s="108"/>
      <c r="BR394" s="108"/>
      <c r="BS394" s="124"/>
      <c r="BT394" s="108"/>
      <c r="BU394" s="260"/>
      <c r="BV394" s="102"/>
      <c r="BW394" s="120"/>
      <c r="BX394" s="120"/>
      <c r="BY394" s="254"/>
      <c r="BZ394" s="254"/>
      <c r="CA394" s="253"/>
      <c r="CB394" s="256"/>
      <c r="CC394" s="256"/>
      <c r="CD394" s="257"/>
      <c r="CE394" s="255"/>
      <c r="CF394" s="255"/>
      <c r="CG394" s="126"/>
      <c r="CH394" s="209"/>
      <c r="CI394" s="256"/>
      <c r="CJ394" s="208"/>
      <c r="CK394" s="208"/>
      <c r="CL394" s="254"/>
      <c r="CM394" s="209"/>
      <c r="CN394" s="254"/>
      <c r="CO394" s="28"/>
      <c r="CP394" s="28"/>
      <c r="CQ394" s="28"/>
      <c r="CR394" s="28"/>
      <c r="CS394" s="28"/>
      <c r="CT394" s="28"/>
      <c r="CU394" s="28"/>
      <c r="CV394" s="28"/>
    </row>
    <row r="395" spans="1:100" ht="12" customHeight="1" x14ac:dyDescent="0.2">
      <c r="A395" s="200" t="s">
        <v>364</v>
      </c>
      <c r="B395" s="37">
        <f t="shared" si="339"/>
        <v>161.00127538118977</v>
      </c>
      <c r="C395" s="161">
        <f t="shared" si="340"/>
        <v>1.2129032258064519E-2</v>
      </c>
      <c r="D395" s="26">
        <f t="shared" si="341"/>
        <v>0.21832258064516141</v>
      </c>
      <c r="E395" s="118">
        <v>0</v>
      </c>
      <c r="F395" s="118">
        <f t="shared" si="314"/>
        <v>0.11292793460603684</v>
      </c>
      <c r="G395" s="147">
        <f t="shared" si="342"/>
        <v>337.70308261544972</v>
      </c>
      <c r="H395" s="148">
        <f t="shared" si="315"/>
        <v>0.56020308172846955</v>
      </c>
      <c r="I395" s="149">
        <f t="shared" si="316"/>
        <v>0.35049063864647473</v>
      </c>
      <c r="J395" s="150">
        <f t="shared" si="317"/>
        <v>4.7525674189727871</v>
      </c>
      <c r="K395" s="151">
        <f t="shared" si="318"/>
        <v>2.4440843982471892E-5</v>
      </c>
      <c r="L395" s="151">
        <f t="shared" si="319"/>
        <v>3.0406512625130597E-5</v>
      </c>
      <c r="M395" s="152">
        <f t="shared" si="320"/>
        <v>848.46961554776249</v>
      </c>
      <c r="N395" s="153">
        <f t="shared" si="321"/>
        <v>9.0220319677087948E-2</v>
      </c>
      <c r="O395" s="154">
        <f t="shared" si="322"/>
        <v>0.71445265736935004</v>
      </c>
      <c r="P395" s="155">
        <f t="shared" si="323"/>
        <v>0.68201167110914718</v>
      </c>
      <c r="Q395" s="154">
        <f t="shared" si="324"/>
        <v>4.710945564347295E-2</v>
      </c>
      <c r="R395" s="154">
        <f t="shared" si="343"/>
        <v>0.35406033398376557</v>
      </c>
      <c r="S395" s="154">
        <f t="shared" si="344"/>
        <v>0.2382816778757173</v>
      </c>
      <c r="T395" s="154">
        <f t="shared" si="325"/>
        <v>6.0926017850295011</v>
      </c>
      <c r="U395" s="154">
        <f t="shared" si="326"/>
        <v>29.619774770836667</v>
      </c>
      <c r="V395" s="157">
        <f t="shared" si="327"/>
        <v>1.9325373418765719</v>
      </c>
      <c r="W395" s="158">
        <f t="shared" si="328"/>
        <v>1.8837868583226353E-2</v>
      </c>
      <c r="X395" s="157">
        <f t="shared" si="329"/>
        <v>8.95356288970018</v>
      </c>
      <c r="Y395" s="143">
        <f t="shared" si="330"/>
        <v>333.22630117059964</v>
      </c>
      <c r="Z395" s="157">
        <f t="shared" si="331"/>
        <v>1.8835760581805694</v>
      </c>
      <c r="AA395" s="158">
        <f t="shared" si="332"/>
        <v>1.8104489795380565E-2</v>
      </c>
      <c r="AB395" s="157">
        <f t="shared" si="333"/>
        <v>8.7255471378106595</v>
      </c>
      <c r="AC395" s="157">
        <f t="shared" si="345"/>
        <v>153.71227737015082</v>
      </c>
      <c r="AD395" s="123">
        <f t="shared" si="346"/>
        <v>-0.21832258064516141</v>
      </c>
      <c r="AE395" s="108">
        <f t="shared" si="347"/>
        <v>161.00127538118977</v>
      </c>
      <c r="AF395" s="123">
        <f t="shared" si="334"/>
        <v>328.97753547763904</v>
      </c>
      <c r="AG395" s="125">
        <f t="shared" si="335"/>
        <v>153.71227737015082</v>
      </c>
      <c r="AH395" s="292">
        <f t="shared" si="336"/>
        <v>19.235545605350733</v>
      </c>
      <c r="AI395" s="119">
        <f t="shared" si="337"/>
        <v>59.057253949244206</v>
      </c>
      <c r="AJ395" s="119">
        <f t="shared" si="338"/>
        <v>22.530432503276554</v>
      </c>
      <c r="AK395" s="175"/>
      <c r="AL395" s="28"/>
      <c r="AM395" s="108"/>
      <c r="AN395" s="260"/>
      <c r="AO395" s="102"/>
      <c r="AP395" s="120"/>
      <c r="AQ395" s="120"/>
      <c r="AR395" s="119"/>
      <c r="AS395" s="123"/>
      <c r="AT395" s="123"/>
      <c r="AU395" s="124"/>
      <c r="AV395" s="124"/>
      <c r="AW395" s="108"/>
      <c r="AX395" s="102"/>
      <c r="AY395" s="102"/>
      <c r="AZ395" s="119"/>
      <c r="BA395" s="123"/>
      <c r="BB395" s="123"/>
      <c r="BC395" s="108"/>
      <c r="BD395" s="108"/>
      <c r="BE395" s="260"/>
      <c r="BF395" s="102"/>
      <c r="BG395" s="120"/>
      <c r="BH395" s="102"/>
      <c r="BI395" s="261"/>
      <c r="BJ395" s="119"/>
      <c r="BK395" s="261"/>
      <c r="BL395" s="102"/>
      <c r="BM395" s="119"/>
      <c r="BN395" s="123"/>
      <c r="BO395" s="123"/>
      <c r="BP395" s="123"/>
      <c r="BQ395" s="108"/>
      <c r="BR395" s="108"/>
      <c r="BS395" s="124"/>
      <c r="BT395" s="108"/>
      <c r="BU395" s="260"/>
      <c r="BV395" s="102"/>
      <c r="BW395" s="120"/>
      <c r="BX395" s="120"/>
      <c r="BY395" s="254"/>
      <c r="BZ395" s="254"/>
      <c r="CA395" s="253"/>
      <c r="CB395" s="256"/>
      <c r="CC395" s="256"/>
      <c r="CD395" s="257"/>
      <c r="CE395" s="255"/>
      <c r="CF395" s="255"/>
      <c r="CG395" s="126"/>
      <c r="CH395" s="209"/>
      <c r="CI395" s="256"/>
      <c r="CJ395" s="208"/>
      <c r="CK395" s="208"/>
      <c r="CL395" s="254"/>
      <c r="CM395" s="209"/>
      <c r="CN395" s="254"/>
      <c r="CO395" s="28"/>
      <c r="CP395" s="28"/>
      <c r="CQ395" s="28"/>
      <c r="CR395" s="28"/>
      <c r="CS395" s="28"/>
      <c r="CT395" s="28"/>
      <c r="CU395" s="28"/>
      <c r="CV395" s="28"/>
    </row>
    <row r="396" spans="1:100" ht="12" customHeight="1" x14ac:dyDescent="0.2">
      <c r="A396" s="200" t="s">
        <v>364</v>
      </c>
      <c r="B396" s="37">
        <f t="shared" si="339"/>
        <v>161.00127538118977</v>
      </c>
      <c r="C396" s="161">
        <f t="shared" si="340"/>
        <v>1.2129032258064519E-2</v>
      </c>
      <c r="D396" s="26">
        <f t="shared" si="341"/>
        <v>0.23045161290322594</v>
      </c>
      <c r="E396" s="118">
        <v>0</v>
      </c>
      <c r="F396" s="118">
        <f t="shared" si="314"/>
        <v>0.11262627172904616</v>
      </c>
      <c r="G396" s="147">
        <f t="shared" si="342"/>
        <v>328.97753547763904</v>
      </c>
      <c r="H396" s="148">
        <f t="shared" si="315"/>
        <v>0.56935451604443632</v>
      </c>
      <c r="I396" s="149">
        <f t="shared" si="316"/>
        <v>0.34485707999795756</v>
      </c>
      <c r="J396" s="150">
        <f t="shared" si="317"/>
        <v>4.6761777402378275</v>
      </c>
      <c r="K396" s="151">
        <f t="shared" si="318"/>
        <v>2.4440843982471892E-5</v>
      </c>
      <c r="L396" s="151">
        <f t="shared" si="319"/>
        <v>3.0124846637798163E-5</v>
      </c>
      <c r="M396" s="152">
        <f t="shared" si="320"/>
        <v>856.40276902927985</v>
      </c>
      <c r="N396" s="153">
        <f t="shared" si="321"/>
        <v>8.9979315347275698E-2</v>
      </c>
      <c r="O396" s="154">
        <f t="shared" si="322"/>
        <v>0.70109117818058941</v>
      </c>
      <c r="P396" s="155">
        <f t="shared" si="323"/>
        <v>0.68186531891837965</v>
      </c>
      <c r="Q396" s="154">
        <f t="shared" si="324"/>
        <v>4.6672576223829906E-2</v>
      </c>
      <c r="R396" s="154">
        <f t="shared" si="343"/>
        <v>0.3477364775599317</v>
      </c>
      <c r="S396" s="154">
        <f t="shared" si="344"/>
        <v>0.23390706193092167</v>
      </c>
      <c r="T396" s="154">
        <f t="shared" si="325"/>
        <v>5.9910894631351823</v>
      </c>
      <c r="U396" s="154">
        <f t="shared" si="326"/>
        <v>28.856154259791104</v>
      </c>
      <c r="V396" s="157">
        <f t="shared" si="327"/>
        <v>1.7897464512300814</v>
      </c>
      <c r="W396" s="158">
        <f t="shared" si="328"/>
        <v>1.7423329656908071E-2</v>
      </c>
      <c r="X396" s="157">
        <f t="shared" si="329"/>
        <v>8.2919000911796719</v>
      </c>
      <c r="Y396" s="143">
        <f t="shared" si="330"/>
        <v>324.83158543204922</v>
      </c>
      <c r="Z396" s="157">
        <f t="shared" si="331"/>
        <v>1.7455723555762612</v>
      </c>
      <c r="AA396" s="158">
        <f t="shared" si="332"/>
        <v>1.677241182491148E-2</v>
      </c>
      <c r="AB396" s="157">
        <f t="shared" si="333"/>
        <v>8.0862279195103639</v>
      </c>
      <c r="AC396" s="157">
        <f t="shared" si="345"/>
        <v>155.47462213755199</v>
      </c>
      <c r="AD396" s="123">
        <f t="shared" si="346"/>
        <v>-0.23045161290322594</v>
      </c>
      <c r="AE396" s="108">
        <f t="shared" si="347"/>
        <v>161.00127538118977</v>
      </c>
      <c r="AF396" s="123">
        <f t="shared" si="334"/>
        <v>320.89130755812869</v>
      </c>
      <c r="AG396" s="125">
        <f t="shared" si="335"/>
        <v>155.47462213755199</v>
      </c>
      <c r="AH396" s="292">
        <f t="shared" si="336"/>
        <v>18.309563530075966</v>
      </c>
      <c r="AI396" s="119">
        <f t="shared" si="337"/>
        <v>62.338212501979996</v>
      </c>
      <c r="AJ396" s="119">
        <f t="shared" si="338"/>
        <v>23.782123197903029</v>
      </c>
      <c r="AK396" s="175"/>
      <c r="AL396" s="28"/>
      <c r="AM396" s="108"/>
      <c r="AN396" s="260"/>
      <c r="AO396" s="102"/>
      <c r="AP396" s="120"/>
      <c r="AQ396" s="120"/>
      <c r="AR396" s="119"/>
      <c r="AS396" s="123"/>
      <c r="AT396" s="123"/>
      <c r="AU396" s="124"/>
      <c r="AV396" s="124"/>
      <c r="AW396" s="108"/>
      <c r="AX396" s="102"/>
      <c r="AY396" s="102"/>
      <c r="AZ396" s="119"/>
      <c r="BA396" s="123"/>
      <c r="BB396" s="123"/>
      <c r="BC396" s="108"/>
      <c r="BD396" s="108"/>
      <c r="BE396" s="260"/>
      <c r="BF396" s="102"/>
      <c r="BG396" s="120"/>
      <c r="BH396" s="102"/>
      <c r="BI396" s="261"/>
      <c r="BJ396" s="119"/>
      <c r="BK396" s="261"/>
      <c r="BL396" s="102"/>
      <c r="BM396" s="119"/>
      <c r="BN396" s="123"/>
      <c r="BO396" s="123"/>
      <c r="BP396" s="123"/>
      <c r="BQ396" s="108"/>
      <c r="BR396" s="108"/>
      <c r="BS396" s="124"/>
      <c r="BT396" s="108"/>
      <c r="BU396" s="260"/>
      <c r="BV396" s="102"/>
      <c r="BW396" s="120"/>
      <c r="BX396" s="120"/>
      <c r="BY396" s="254"/>
      <c r="BZ396" s="254"/>
      <c r="CA396" s="253"/>
      <c r="CB396" s="256"/>
      <c r="CC396" s="256"/>
      <c r="CD396" s="257"/>
      <c r="CE396" s="255"/>
      <c r="CF396" s="255"/>
      <c r="CG396" s="126"/>
      <c r="CH396" s="209"/>
      <c r="CI396" s="256"/>
      <c r="CJ396" s="208"/>
      <c r="CK396" s="208"/>
      <c r="CL396" s="254"/>
      <c r="CM396" s="209"/>
      <c r="CN396" s="254"/>
      <c r="CO396" s="28"/>
      <c r="CP396" s="28"/>
      <c r="CQ396" s="28"/>
      <c r="CR396" s="28"/>
      <c r="CS396" s="28"/>
      <c r="CT396" s="28"/>
      <c r="CU396" s="28"/>
      <c r="CV396" s="28"/>
    </row>
    <row r="397" spans="1:100" ht="12" customHeight="1" x14ac:dyDescent="0.2">
      <c r="A397" s="200" t="s">
        <v>364</v>
      </c>
      <c r="B397" s="37">
        <f t="shared" si="339"/>
        <v>161.00127538118977</v>
      </c>
      <c r="C397" s="161">
        <f t="shared" si="340"/>
        <v>1.2129032258064519E-2</v>
      </c>
      <c r="D397" s="26">
        <f t="shared" si="341"/>
        <v>0.24258064516129046</v>
      </c>
      <c r="E397" s="118">
        <v>0</v>
      </c>
      <c r="F397" s="118">
        <f t="shared" si="314"/>
        <v>0.11234486970193</v>
      </c>
      <c r="G397" s="147">
        <f t="shared" si="342"/>
        <v>320.89130755812869</v>
      </c>
      <c r="H397" s="148">
        <f t="shared" si="315"/>
        <v>0.57819336172646463</v>
      </c>
      <c r="I397" s="149">
        <f t="shared" si="316"/>
        <v>0.33958524757263325</v>
      </c>
      <c r="J397" s="150">
        <f t="shared" si="317"/>
        <v>4.6046929807029162</v>
      </c>
      <c r="K397" s="151">
        <f t="shared" si="318"/>
        <v>2.4440843982471892E-5</v>
      </c>
      <c r="L397" s="151">
        <f t="shared" si="319"/>
        <v>2.9862620001621264E-5</v>
      </c>
      <c r="M397" s="152">
        <f t="shared" si="320"/>
        <v>863.92292691639557</v>
      </c>
      <c r="N397" s="153">
        <f t="shared" si="321"/>
        <v>8.9754497803832878E-2</v>
      </c>
      <c r="O397" s="154">
        <f t="shared" si="322"/>
        <v>0.68864866194803454</v>
      </c>
      <c r="P397" s="155">
        <f t="shared" si="323"/>
        <v>0.68174740705679515</v>
      </c>
      <c r="Q397" s="154">
        <f t="shared" si="324"/>
        <v>4.6267706878127944E-2</v>
      </c>
      <c r="R397" s="154">
        <f t="shared" si="343"/>
        <v>0.34184150597678176</v>
      </c>
      <c r="S397" s="154">
        <f t="shared" si="344"/>
        <v>0.22983704589693385</v>
      </c>
      <c r="T397" s="154">
        <f t="shared" si="325"/>
        <v>5.8964623292909657</v>
      </c>
      <c r="U397" s="154">
        <f t="shared" si="326"/>
        <v>28.154017506318471</v>
      </c>
      <c r="V397" s="157">
        <f t="shared" si="327"/>
        <v>1.6621373839026621</v>
      </c>
      <c r="W397" s="158">
        <f t="shared" si="328"/>
        <v>1.6166209098028753E-2</v>
      </c>
      <c r="X397" s="157">
        <f t="shared" si="329"/>
        <v>7.7006188699100706</v>
      </c>
      <c r="Y397" s="143">
        <f t="shared" si="330"/>
        <v>317.04099812317367</v>
      </c>
      <c r="Z397" s="157">
        <f t="shared" si="331"/>
        <v>1.6221114788209137</v>
      </c>
      <c r="AA397" s="158">
        <f t="shared" si="332"/>
        <v>1.5585389473538025E-2</v>
      </c>
      <c r="AB397" s="157">
        <f t="shared" si="333"/>
        <v>7.5143016196686956</v>
      </c>
      <c r="AC397" s="157">
        <f t="shared" si="345"/>
        <v>157.11231900584644</v>
      </c>
      <c r="AD397" s="123">
        <f t="shared" si="346"/>
        <v>-0.24258064516129046</v>
      </c>
      <c r="AE397" s="108">
        <f t="shared" si="347"/>
        <v>161.00127538118977</v>
      </c>
      <c r="AF397" s="123">
        <f t="shared" si="334"/>
        <v>313.37700593846</v>
      </c>
      <c r="AG397" s="125">
        <f t="shared" si="335"/>
        <v>157.11231900584644</v>
      </c>
      <c r="AH397" s="292">
        <f t="shared" si="336"/>
        <v>17.449074724011925</v>
      </c>
      <c r="AI397" s="119">
        <f t="shared" si="337"/>
        <v>65.619171054715792</v>
      </c>
      <c r="AJ397" s="119">
        <f t="shared" si="338"/>
        <v>25.033813892529505</v>
      </c>
      <c r="AK397" s="175"/>
      <c r="AL397" s="28"/>
      <c r="AM397" s="108"/>
      <c r="AN397" s="260"/>
      <c r="AO397" s="102"/>
      <c r="AP397" s="120"/>
      <c r="AQ397" s="120"/>
      <c r="AR397" s="119"/>
      <c r="AS397" s="123"/>
      <c r="AT397" s="123"/>
      <c r="AU397" s="124"/>
      <c r="AV397" s="124"/>
      <c r="AW397" s="108"/>
      <c r="AX397" s="102"/>
      <c r="AY397" s="102"/>
      <c r="AZ397" s="119"/>
      <c r="BA397" s="123"/>
      <c r="BB397" s="123"/>
      <c r="BC397" s="108"/>
      <c r="BD397" s="108"/>
      <c r="BE397" s="260"/>
      <c r="BF397" s="102"/>
      <c r="BG397" s="120"/>
      <c r="BH397" s="102"/>
      <c r="BI397" s="261"/>
      <c r="BJ397" s="119"/>
      <c r="BK397" s="261"/>
      <c r="BL397" s="102"/>
      <c r="BM397" s="119"/>
      <c r="BN397" s="123"/>
      <c r="BO397" s="123"/>
      <c r="BP397" s="123"/>
      <c r="BQ397" s="108"/>
      <c r="BR397" s="108"/>
      <c r="BS397" s="124"/>
      <c r="BT397" s="108"/>
      <c r="BU397" s="260"/>
      <c r="BV397" s="102"/>
      <c r="BW397" s="120"/>
      <c r="BX397" s="120"/>
      <c r="BY397" s="254"/>
      <c r="BZ397" s="254"/>
      <c r="CA397" s="253"/>
      <c r="CB397" s="256"/>
      <c r="CC397" s="256"/>
      <c r="CD397" s="257"/>
      <c r="CE397" s="255"/>
      <c r="CF397" s="255"/>
      <c r="CG397" s="126"/>
      <c r="CH397" s="209"/>
      <c r="CI397" s="256"/>
      <c r="CJ397" s="208"/>
      <c r="CK397" s="208"/>
      <c r="CL397" s="254"/>
      <c r="CM397" s="209"/>
      <c r="CN397" s="254"/>
      <c r="CO397" s="28"/>
      <c r="CP397" s="28"/>
      <c r="CQ397" s="28"/>
      <c r="CR397" s="28"/>
      <c r="CS397" s="28"/>
      <c r="CT397" s="28"/>
      <c r="CU397" s="28"/>
      <c r="CV397" s="28"/>
    </row>
    <row r="398" spans="1:100" ht="12" customHeight="1" x14ac:dyDescent="0.2">
      <c r="A398" s="200" t="s">
        <v>364</v>
      </c>
      <c r="B398" s="37">
        <f t="shared" si="339"/>
        <v>161.00127538118977</v>
      </c>
      <c r="C398" s="161">
        <f t="shared" si="340"/>
        <v>1.2129032258064519E-2</v>
      </c>
      <c r="D398" s="26">
        <f t="shared" si="341"/>
        <v>0.25470967741935496</v>
      </c>
      <c r="E398" s="118">
        <v>0</v>
      </c>
      <c r="F398" s="118">
        <f t="shared" si="314"/>
        <v>0.11208177048345284</v>
      </c>
      <c r="G398" s="147">
        <f t="shared" si="342"/>
        <v>313.37700593846</v>
      </c>
      <c r="H398" s="148">
        <f t="shared" si="315"/>
        <v>0.58673652245555963</v>
      </c>
      <c r="I398" s="149">
        <f t="shared" si="316"/>
        <v>0.33464072607071454</v>
      </c>
      <c r="J398" s="150">
        <f t="shared" si="317"/>
        <v>4.5376464773121885</v>
      </c>
      <c r="K398" s="151">
        <f t="shared" si="318"/>
        <v>2.4440843982471892E-5</v>
      </c>
      <c r="L398" s="151">
        <f t="shared" si="319"/>
        <v>2.9617906960376374E-5</v>
      </c>
      <c r="M398" s="152">
        <f t="shared" si="320"/>
        <v>871.0609467342623</v>
      </c>
      <c r="N398" s="153">
        <f t="shared" si="321"/>
        <v>8.9544302729597181E-2</v>
      </c>
      <c r="O398" s="154">
        <f t="shared" si="322"/>
        <v>0.6770323558486856</v>
      </c>
      <c r="P398" s="155">
        <f t="shared" si="323"/>
        <v>0.6816534562083294</v>
      </c>
      <c r="Q398" s="154">
        <f t="shared" si="324"/>
        <v>4.5891473310332748E-2</v>
      </c>
      <c r="R398" s="154">
        <f t="shared" si="343"/>
        <v>0.33632697445663184</v>
      </c>
      <c r="S398" s="154">
        <f t="shared" si="344"/>
        <v>0.22603634405363293</v>
      </c>
      <c r="T398" s="154">
        <f t="shared" si="325"/>
        <v>5.8560000000000008</v>
      </c>
      <c r="U398" s="154">
        <f t="shared" si="326"/>
        <v>27.733452722301447</v>
      </c>
      <c r="V398" s="157">
        <f t="shared" si="327"/>
        <v>1.5603603042537284</v>
      </c>
      <c r="W398" s="158">
        <f t="shared" si="328"/>
        <v>1.504313370610562E-2</v>
      </c>
      <c r="X398" s="157">
        <f t="shared" si="329"/>
        <v>7.2284785021429112</v>
      </c>
      <c r="Y398" s="143">
        <f t="shared" si="330"/>
        <v>309.76276668738853</v>
      </c>
      <c r="Z398" s="157">
        <f t="shared" si="331"/>
        <v>1.523349715777317</v>
      </c>
      <c r="AA398" s="158">
        <f t="shared" si="332"/>
        <v>1.4518107725915868E-2</v>
      </c>
      <c r="AB398" s="157">
        <f t="shared" si="333"/>
        <v>7.0562525340977746</v>
      </c>
      <c r="AC398" s="157">
        <f t="shared" si="345"/>
        <v>158.65018682934968</v>
      </c>
      <c r="AD398" s="123">
        <f t="shared" si="346"/>
        <v>-0.25470967741935496</v>
      </c>
      <c r="AE398" s="108">
        <f t="shared" si="347"/>
        <v>161.00127538118977</v>
      </c>
      <c r="AF398" s="123">
        <f t="shared" si="334"/>
        <v>306.32075340436222</v>
      </c>
      <c r="AG398" s="125">
        <f t="shared" si="335"/>
        <v>158.65018682934968</v>
      </c>
      <c r="AH398" s="292">
        <f t="shared" si="336"/>
        <v>16.641038711395762</v>
      </c>
      <c r="AI398" s="119">
        <f t="shared" si="337"/>
        <v>68.900129607451561</v>
      </c>
      <c r="AJ398" s="119">
        <f t="shared" si="338"/>
        <v>26.28550458715598</v>
      </c>
      <c r="AK398" s="175"/>
      <c r="AL398" s="28"/>
      <c r="AM398" s="108"/>
      <c r="AN398" s="260"/>
      <c r="AO398" s="102"/>
      <c r="AP398" s="120"/>
      <c r="AQ398" s="120"/>
      <c r="AR398" s="119"/>
      <c r="AS398" s="123"/>
      <c r="AT398" s="123"/>
      <c r="AU398" s="124"/>
      <c r="AV398" s="124"/>
      <c r="AW398" s="108"/>
      <c r="AX398" s="102"/>
      <c r="AY398" s="102"/>
      <c r="AZ398" s="119"/>
      <c r="BA398" s="123"/>
      <c r="BB398" s="123"/>
      <c r="BC398" s="108"/>
      <c r="BD398" s="108"/>
      <c r="BE398" s="260"/>
      <c r="BF398" s="102"/>
      <c r="BG398" s="120"/>
      <c r="BH398" s="102"/>
      <c r="BI398" s="261"/>
      <c r="BJ398" s="119"/>
      <c r="BK398" s="261"/>
      <c r="BL398" s="102"/>
      <c r="BM398" s="119"/>
      <c r="BN398" s="123"/>
      <c r="BO398" s="123"/>
      <c r="BP398" s="123"/>
      <c r="BQ398" s="108"/>
      <c r="BR398" s="108"/>
      <c r="BS398" s="124"/>
      <c r="BT398" s="108"/>
      <c r="BU398" s="260"/>
      <c r="BV398" s="102"/>
      <c r="BW398" s="120"/>
      <c r="BX398" s="120"/>
      <c r="BY398" s="254"/>
      <c r="BZ398" s="254"/>
      <c r="CA398" s="253"/>
      <c r="CB398" s="256"/>
      <c r="CC398" s="256"/>
      <c r="CD398" s="257"/>
      <c r="CE398" s="255"/>
      <c r="CF398" s="255"/>
      <c r="CG398" s="126"/>
      <c r="CH398" s="209"/>
      <c r="CI398" s="256"/>
      <c r="CJ398" s="208"/>
      <c r="CK398" s="208"/>
      <c r="CL398" s="254"/>
      <c r="CM398" s="209"/>
      <c r="CN398" s="254"/>
      <c r="CO398" s="28"/>
      <c r="CP398" s="28"/>
      <c r="CQ398" s="28"/>
      <c r="CR398" s="28"/>
      <c r="CS398" s="28"/>
      <c r="CT398" s="28"/>
      <c r="CU398" s="28"/>
      <c r="CV398" s="28"/>
    </row>
    <row r="399" spans="1:100" ht="12" customHeight="1" x14ac:dyDescent="0.2">
      <c r="A399" s="200" t="s">
        <v>364</v>
      </c>
      <c r="B399" s="37">
        <f t="shared" si="339"/>
        <v>161.00127538118977</v>
      </c>
      <c r="C399" s="161">
        <f t="shared" si="340"/>
        <v>1.2129032258064519E-2</v>
      </c>
      <c r="D399" s="26">
        <f t="shared" si="341"/>
        <v>0.26683870967741946</v>
      </c>
      <c r="E399" s="118">
        <v>0</v>
      </c>
      <c r="F399" s="118">
        <f t="shared" si="314"/>
        <v>0.11183329543778145</v>
      </c>
      <c r="G399" s="147">
        <f t="shared" si="342"/>
        <v>306.32075340436222</v>
      </c>
      <c r="H399" s="148">
        <f t="shared" si="315"/>
        <v>0.59506645523051627</v>
      </c>
      <c r="I399" s="149">
        <f t="shared" si="316"/>
        <v>0.32995631691367022</v>
      </c>
      <c r="J399" s="150">
        <f t="shared" si="317"/>
        <v>4.4741270337604817</v>
      </c>
      <c r="K399" s="151">
        <f t="shared" si="318"/>
        <v>2.4440843982471892E-5</v>
      </c>
      <c r="L399" s="151">
        <f t="shared" si="319"/>
        <v>2.9387204646130433E-5</v>
      </c>
      <c r="M399" s="152">
        <f t="shared" si="320"/>
        <v>877.89915331704844</v>
      </c>
      <c r="N399" s="153">
        <f t="shared" si="321"/>
        <v>8.9345791190973384E-2</v>
      </c>
      <c r="O399" s="154">
        <f t="shared" si="322"/>
        <v>0.66607512934375446</v>
      </c>
      <c r="P399" s="155">
        <f t="shared" si="323"/>
        <v>0.68157921346091943</v>
      </c>
      <c r="Q399" s="154">
        <f t="shared" si="324"/>
        <v>4.5538173802203014E-2</v>
      </c>
      <c r="R399" s="154">
        <f t="shared" si="343"/>
        <v>0.3311518954193749</v>
      </c>
      <c r="S399" s="154">
        <f t="shared" si="344"/>
        <v>0.22247523563697913</v>
      </c>
      <c r="T399" s="154">
        <f t="shared" si="325"/>
        <v>5.8560000000000008</v>
      </c>
      <c r="U399" s="154">
        <f t="shared" si="326"/>
        <v>27.51994431869737</v>
      </c>
      <c r="V399" s="157">
        <f t="shared" si="327"/>
        <v>1.4766464694942947</v>
      </c>
      <c r="W399" s="158">
        <f t="shared" si="328"/>
        <v>1.4027099440747556E-2</v>
      </c>
      <c r="X399" s="157">
        <f t="shared" si="329"/>
        <v>6.8397094909947276</v>
      </c>
      <c r="Y399" s="143">
        <f t="shared" si="330"/>
        <v>302.90089865886483</v>
      </c>
      <c r="Z399" s="157">
        <f t="shared" si="331"/>
        <v>1.4418960251297974</v>
      </c>
      <c r="AA399" s="158">
        <f t="shared" si="332"/>
        <v>1.3547843099301814E-2</v>
      </c>
      <c r="AB399" s="157">
        <f t="shared" si="333"/>
        <v>6.6780638273800657</v>
      </c>
      <c r="AC399" s="157">
        <f t="shared" si="345"/>
        <v>160.10563069757879</v>
      </c>
      <c r="AD399" s="123">
        <f t="shared" si="346"/>
        <v>-0.26683870967741946</v>
      </c>
      <c r="AE399" s="108">
        <f t="shared" si="347"/>
        <v>161.00127538118977</v>
      </c>
      <c r="AF399" s="123">
        <f t="shared" si="334"/>
        <v>299.64268957698215</v>
      </c>
      <c r="AG399" s="125">
        <f t="shared" si="335"/>
        <v>160.10563069757879</v>
      </c>
      <c r="AH399" s="292">
        <f t="shared" si="336"/>
        <v>15.876310402566551</v>
      </c>
      <c r="AI399" s="119">
        <f t="shared" si="337"/>
        <v>72.181088160187358</v>
      </c>
      <c r="AJ399" s="119">
        <f t="shared" si="338"/>
        <v>27.537195281782452</v>
      </c>
      <c r="AK399" s="175"/>
      <c r="AL399" s="28"/>
      <c r="AM399" s="108"/>
      <c r="AN399" s="260"/>
      <c r="AO399" s="102"/>
      <c r="AP399" s="120"/>
      <c r="AQ399" s="120"/>
      <c r="AR399" s="119"/>
      <c r="AS399" s="123"/>
      <c r="AT399" s="123"/>
      <c r="AU399" s="124"/>
      <c r="AV399" s="124"/>
      <c r="AW399" s="108"/>
      <c r="AX399" s="102"/>
      <c r="AY399" s="102"/>
      <c r="AZ399" s="119"/>
      <c r="BA399" s="123"/>
      <c r="BB399" s="123"/>
      <c r="BC399" s="108"/>
      <c r="BD399" s="108"/>
      <c r="BE399" s="260"/>
      <c r="BF399" s="102"/>
      <c r="BG399" s="120"/>
      <c r="BH399" s="102"/>
      <c r="BI399" s="261"/>
      <c r="BJ399" s="119"/>
      <c r="BK399" s="261"/>
      <c r="BL399" s="102"/>
      <c r="BM399" s="119"/>
      <c r="BN399" s="123"/>
      <c r="BO399" s="123"/>
      <c r="BP399" s="123"/>
      <c r="BQ399" s="108"/>
      <c r="BR399" s="108"/>
      <c r="BS399" s="124"/>
      <c r="BT399" s="108"/>
      <c r="BU399" s="260"/>
      <c r="BV399" s="102"/>
      <c r="BW399" s="120"/>
      <c r="BX399" s="120"/>
      <c r="BY399" s="254"/>
      <c r="BZ399" s="254"/>
      <c r="CA399" s="253"/>
      <c r="CB399" s="256"/>
      <c r="CC399" s="256"/>
      <c r="CD399" s="257"/>
      <c r="CE399" s="255"/>
      <c r="CF399" s="255"/>
      <c r="CG399" s="126"/>
      <c r="CH399" s="209"/>
      <c r="CI399" s="256"/>
      <c r="CJ399" s="208"/>
      <c r="CK399" s="208"/>
      <c r="CL399" s="254"/>
      <c r="CM399" s="209"/>
      <c r="CN399" s="254"/>
      <c r="CO399" s="28"/>
      <c r="CP399" s="28"/>
      <c r="CQ399" s="28"/>
      <c r="CR399" s="28"/>
      <c r="CS399" s="28"/>
      <c r="CT399" s="28"/>
      <c r="CU399" s="28"/>
      <c r="CV399" s="28"/>
    </row>
    <row r="400" spans="1:100" ht="12" customHeight="1" x14ac:dyDescent="0.2">
      <c r="A400" s="200" t="s">
        <v>364</v>
      </c>
      <c r="B400" s="37">
        <f t="shared" si="339"/>
        <v>161.00127538118977</v>
      </c>
      <c r="C400" s="161">
        <f t="shared" si="340"/>
        <v>1.2129032258064519E-2</v>
      </c>
      <c r="D400" s="26">
        <f t="shared" si="341"/>
        <v>0.27896774193548396</v>
      </c>
      <c r="E400" s="118">
        <v>0</v>
      </c>
      <c r="F400" s="118">
        <f t="shared" si="314"/>
        <v>0.11159686815673181</v>
      </c>
      <c r="G400" s="147">
        <f t="shared" si="342"/>
        <v>299.64268957698215</v>
      </c>
      <c r="H400" s="148">
        <f t="shared" si="315"/>
        <v>0.60324119559565603</v>
      </c>
      <c r="I400" s="149">
        <f t="shared" si="316"/>
        <v>0.32548495911798181</v>
      </c>
      <c r="J400" s="150">
        <f t="shared" si="317"/>
        <v>4.4134965146104586</v>
      </c>
      <c r="K400" s="151">
        <f t="shared" si="318"/>
        <v>2.4440843982471892E-5</v>
      </c>
      <c r="L400" s="151">
        <f t="shared" si="319"/>
        <v>2.916805866704354E-5</v>
      </c>
      <c r="M400" s="152">
        <f t="shared" si="320"/>
        <v>884.49500090805043</v>
      </c>
      <c r="N400" s="153">
        <f t="shared" si="321"/>
        <v>8.9156904845437202E-2</v>
      </c>
      <c r="O400" s="154">
        <f t="shared" si="322"/>
        <v>0.65565983344899581</v>
      </c>
      <c r="P400" s="155">
        <f t="shared" si="323"/>
        <v>0.68152165697249734</v>
      </c>
      <c r="Q400" s="154">
        <f t="shared" si="324"/>
        <v>4.5203809824429918E-2</v>
      </c>
      <c r="R400" s="154">
        <f t="shared" si="343"/>
        <v>0.32628131192814752</v>
      </c>
      <c r="S400" s="154">
        <f t="shared" si="344"/>
        <v>0.21912847512114517</v>
      </c>
      <c r="T400" s="154">
        <f t="shared" si="325"/>
        <v>5.8560000000000008</v>
      </c>
      <c r="U400" s="154">
        <f t="shared" si="326"/>
        <v>27.317879165833276</v>
      </c>
      <c r="V400" s="157">
        <f t="shared" si="327"/>
        <v>1.3984440989754474</v>
      </c>
      <c r="W400" s="158">
        <f t="shared" si="328"/>
        <v>1.3099112865945771E-2</v>
      </c>
      <c r="X400" s="157">
        <f t="shared" si="329"/>
        <v>6.4766329156007627</v>
      </c>
      <c r="Y400" s="143">
        <f t="shared" si="330"/>
        <v>296.40437311918174</v>
      </c>
      <c r="Z400" s="157">
        <f t="shared" si="331"/>
        <v>1.3657799447088825</v>
      </c>
      <c r="AA400" s="158">
        <f t="shared" si="332"/>
        <v>1.2660647571550651E-2</v>
      </c>
      <c r="AB400" s="157">
        <f t="shared" si="333"/>
        <v>6.3247470125390777</v>
      </c>
      <c r="AC400" s="157">
        <f t="shared" si="345"/>
        <v>161.48407128985923</v>
      </c>
      <c r="AD400" s="123">
        <f t="shared" si="346"/>
        <v>-0.27896774193548396</v>
      </c>
      <c r="AE400" s="108">
        <f t="shared" si="347"/>
        <v>161.00127538118977</v>
      </c>
      <c r="AF400" s="123">
        <f t="shared" si="334"/>
        <v>293.31794256444306</v>
      </c>
      <c r="AG400" s="125">
        <f t="shared" si="335"/>
        <v>161.48407128985923</v>
      </c>
      <c r="AH400" s="292">
        <f t="shared" si="336"/>
        <v>15.152041630704705</v>
      </c>
      <c r="AI400" s="119">
        <f t="shared" si="337"/>
        <v>75.462046712923126</v>
      </c>
      <c r="AJ400" s="119">
        <f t="shared" si="338"/>
        <v>28.788885976408924</v>
      </c>
      <c r="AK400" s="175"/>
      <c r="AL400" s="28"/>
      <c r="AM400" s="108"/>
      <c r="AN400" s="260"/>
      <c r="AO400" s="102"/>
      <c r="AP400" s="120"/>
      <c r="AQ400" s="120"/>
      <c r="AR400" s="119"/>
      <c r="AS400" s="123"/>
      <c r="AT400" s="123"/>
      <c r="AU400" s="124"/>
      <c r="AV400" s="124"/>
      <c r="AW400" s="108"/>
      <c r="AX400" s="102"/>
      <c r="AY400" s="102"/>
      <c r="AZ400" s="119"/>
      <c r="BA400" s="123"/>
      <c r="BB400" s="123"/>
      <c r="BC400" s="108"/>
      <c r="BD400" s="108"/>
      <c r="BE400" s="260"/>
      <c r="BF400" s="102"/>
      <c r="BG400" s="120"/>
      <c r="BH400" s="102"/>
      <c r="BI400" s="261"/>
      <c r="BJ400" s="119"/>
      <c r="BK400" s="261"/>
      <c r="BL400" s="102"/>
      <c r="BM400" s="119"/>
      <c r="BN400" s="123"/>
      <c r="BO400" s="123"/>
      <c r="BP400" s="123"/>
      <c r="BQ400" s="108"/>
      <c r="BR400" s="108"/>
      <c r="BS400" s="124"/>
      <c r="BT400" s="108"/>
      <c r="BU400" s="260"/>
      <c r="BV400" s="102"/>
      <c r="BW400" s="120"/>
      <c r="BX400" s="120"/>
      <c r="BY400" s="254"/>
      <c r="BZ400" s="254"/>
      <c r="CA400" s="253"/>
      <c r="CB400" s="256"/>
      <c r="CC400" s="256"/>
      <c r="CD400" s="257"/>
      <c r="CE400" s="255"/>
      <c r="CF400" s="255"/>
      <c r="CG400" s="126"/>
      <c r="CH400" s="209"/>
      <c r="CI400" s="256"/>
      <c r="CJ400" s="208"/>
      <c r="CK400" s="208"/>
      <c r="CL400" s="254"/>
      <c r="CM400" s="209"/>
      <c r="CN400" s="254"/>
      <c r="CO400" s="28"/>
      <c r="CP400" s="28"/>
      <c r="CQ400" s="28"/>
      <c r="CR400" s="28"/>
      <c r="CS400" s="28"/>
      <c r="CT400" s="28"/>
      <c r="CU400" s="28"/>
      <c r="CV400" s="28"/>
    </row>
    <row r="401" spans="1:100" ht="12" customHeight="1" x14ac:dyDescent="0.2">
      <c r="A401" s="200" t="s">
        <v>364</v>
      </c>
      <c r="B401" s="37">
        <f t="shared" si="339"/>
        <v>161.00127538118977</v>
      </c>
      <c r="C401" s="161">
        <f t="shared" si="340"/>
        <v>1.2129032258064519E-2</v>
      </c>
      <c r="D401" s="26">
        <f t="shared" si="341"/>
        <v>0.29109677419354846</v>
      </c>
      <c r="E401" s="118">
        <v>0</v>
      </c>
      <c r="F401" s="118">
        <f t="shared" si="314"/>
        <v>0.1113718038140958</v>
      </c>
      <c r="G401" s="147">
        <f t="shared" si="342"/>
        <v>293.31794256444306</v>
      </c>
      <c r="H401" s="148">
        <f t="shared" si="315"/>
        <v>0.61126011957353366</v>
      </c>
      <c r="I401" s="149">
        <f t="shared" si="316"/>
        <v>0.32121502712089572</v>
      </c>
      <c r="J401" s="150">
        <f t="shared" si="317"/>
        <v>4.3555972800718452</v>
      </c>
      <c r="K401" s="151">
        <f t="shared" si="318"/>
        <v>2.4440843982471892E-5</v>
      </c>
      <c r="L401" s="151">
        <f t="shared" si="319"/>
        <v>2.8959782168663163E-5</v>
      </c>
      <c r="M401" s="152">
        <f t="shared" si="320"/>
        <v>890.85622008266887</v>
      </c>
      <c r="N401" s="153">
        <f t="shared" si="321"/>
        <v>8.897709657203369E-2</v>
      </c>
      <c r="O401" s="154">
        <f t="shared" si="322"/>
        <v>0.64575348097737129</v>
      </c>
      <c r="P401" s="155">
        <f t="shared" si="323"/>
        <v>0.68147873815304505</v>
      </c>
      <c r="Q401" s="154">
        <f t="shared" si="324"/>
        <v>4.4887136066259097E-2</v>
      </c>
      <c r="R401" s="154">
        <f t="shared" si="343"/>
        <v>0.32168519284114894</v>
      </c>
      <c r="S401" s="154">
        <f t="shared" si="344"/>
        <v>0.21597445384018044</v>
      </c>
      <c r="T401" s="154">
        <f t="shared" si="325"/>
        <v>5.8560000000000008</v>
      </c>
      <c r="U401" s="154">
        <f t="shared" si="326"/>
        <v>27.126504688896478</v>
      </c>
      <c r="V401" s="157">
        <f t="shared" si="327"/>
        <v>1.3252979985138713</v>
      </c>
      <c r="W401" s="158">
        <f t="shared" si="328"/>
        <v>1.2249652479054584E-2</v>
      </c>
      <c r="X401" s="157">
        <f t="shared" si="329"/>
        <v>6.1371165047823233</v>
      </c>
      <c r="Y401" s="143">
        <f t="shared" si="330"/>
        <v>290.24938431205192</v>
      </c>
      <c r="Z401" s="157">
        <f t="shared" si="331"/>
        <v>1.2945629883538521</v>
      </c>
      <c r="AA401" s="158">
        <f t="shared" si="332"/>
        <v>1.1847644767762138E-2</v>
      </c>
      <c r="AB401" s="157">
        <f t="shared" si="333"/>
        <v>5.9942494404606368</v>
      </c>
      <c r="AC401" s="157">
        <f t="shared" si="345"/>
        <v>162.79048192298083</v>
      </c>
      <c r="AD401" s="123">
        <f t="shared" si="346"/>
        <v>-0.29109677419354846</v>
      </c>
      <c r="AE401" s="108">
        <f t="shared" si="347"/>
        <v>161.00127538118977</v>
      </c>
      <c r="AF401" s="123">
        <f t="shared" si="334"/>
        <v>287.32369312398242</v>
      </c>
      <c r="AG401" s="125">
        <f t="shared" si="335"/>
        <v>162.79048192298083</v>
      </c>
      <c r="AH401" s="292">
        <f t="shared" si="336"/>
        <v>14.46561928497786</v>
      </c>
      <c r="AI401" s="119">
        <f t="shared" si="337"/>
        <v>78.743005265658923</v>
      </c>
      <c r="AJ401" s="119">
        <f t="shared" si="338"/>
        <v>30.040576671035396</v>
      </c>
      <c r="AK401" s="175"/>
      <c r="AL401" s="28"/>
      <c r="AM401" s="108"/>
      <c r="AN401" s="260"/>
      <c r="AO401" s="102"/>
      <c r="AP401" s="120"/>
      <c r="AQ401" s="120"/>
      <c r="AR401" s="119"/>
      <c r="AS401" s="123"/>
      <c r="AT401" s="123"/>
      <c r="AU401" s="124"/>
      <c r="AV401" s="124"/>
      <c r="AW401" s="108"/>
      <c r="AX401" s="102"/>
      <c r="AY401" s="102"/>
      <c r="AZ401" s="119"/>
      <c r="BA401" s="123"/>
      <c r="BB401" s="123"/>
      <c r="BC401" s="108"/>
      <c r="BD401" s="108"/>
      <c r="BE401" s="260"/>
      <c r="BF401" s="102"/>
      <c r="BG401" s="120"/>
      <c r="BH401" s="102"/>
      <c r="BI401" s="261"/>
      <c r="BJ401" s="119"/>
      <c r="BK401" s="261"/>
      <c r="BL401" s="102"/>
      <c r="BM401" s="119"/>
      <c r="BN401" s="123"/>
      <c r="BO401" s="123"/>
      <c r="BP401" s="123"/>
      <c r="BQ401" s="108"/>
      <c r="BR401" s="108"/>
      <c r="BS401" s="124"/>
      <c r="BT401" s="108"/>
      <c r="BU401" s="260"/>
      <c r="BV401" s="102"/>
      <c r="BW401" s="120"/>
      <c r="BX401" s="120"/>
      <c r="BY401" s="254"/>
      <c r="BZ401" s="254"/>
      <c r="CA401" s="253"/>
      <c r="CB401" s="256"/>
      <c r="CC401" s="256"/>
      <c r="CD401" s="257"/>
      <c r="CE401" s="255"/>
      <c r="CF401" s="255"/>
      <c r="CG401" s="126"/>
      <c r="CH401" s="209"/>
      <c r="CI401" s="256"/>
      <c r="CJ401" s="208"/>
      <c r="CK401" s="208"/>
      <c r="CL401" s="254"/>
      <c r="CM401" s="209"/>
      <c r="CN401" s="254"/>
      <c r="CO401" s="28"/>
      <c r="CP401" s="28"/>
      <c r="CQ401" s="28"/>
      <c r="CR401" s="28"/>
      <c r="CS401" s="28"/>
      <c r="CT401" s="28"/>
      <c r="CU401" s="28"/>
      <c r="CV401" s="28"/>
    </row>
    <row r="402" spans="1:100" ht="12" customHeight="1" x14ac:dyDescent="0.2">
      <c r="A402" s="200" t="s">
        <v>364</v>
      </c>
      <c r="B402" s="37">
        <f t="shared" si="339"/>
        <v>161.00127538118977</v>
      </c>
      <c r="C402" s="161">
        <f t="shared" si="340"/>
        <v>1.2129032258064519E-2</v>
      </c>
      <c r="D402" s="26">
        <f t="shared" si="341"/>
        <v>0.30322580645161296</v>
      </c>
      <c r="E402" s="118">
        <v>0</v>
      </c>
      <c r="F402" s="118">
        <f t="shared" si="314"/>
        <v>0.11115746497823313</v>
      </c>
      <c r="G402" s="147">
        <f t="shared" si="342"/>
        <v>287.32369312398242</v>
      </c>
      <c r="H402" s="148">
        <f t="shared" si="315"/>
        <v>0.6191227357234248</v>
      </c>
      <c r="I402" s="149">
        <f t="shared" si="316"/>
        <v>0.31713572213966706</v>
      </c>
      <c r="J402" s="150">
        <f t="shared" si="317"/>
        <v>4.3002829012892612</v>
      </c>
      <c r="K402" s="151">
        <f t="shared" si="318"/>
        <v>2.4440843982471892E-5</v>
      </c>
      <c r="L402" s="151">
        <f t="shared" si="319"/>
        <v>2.8761738207157557E-5</v>
      </c>
      <c r="M402" s="152">
        <f t="shared" si="320"/>
        <v>896.99036585947647</v>
      </c>
      <c r="N402" s="153">
        <f t="shared" si="321"/>
        <v>8.880585711424846E-2</v>
      </c>
      <c r="O402" s="154">
        <f t="shared" si="322"/>
        <v>0.63632567294424647</v>
      </c>
      <c r="P402" s="155">
        <f t="shared" si="323"/>
        <v>0.6814486399651889</v>
      </c>
      <c r="Q402" s="154">
        <f t="shared" si="324"/>
        <v>4.4587009991024676E-2</v>
      </c>
      <c r="R402" s="154">
        <f t="shared" si="343"/>
        <v>0.31733756700538429</v>
      </c>
      <c r="S402" s="154">
        <f t="shared" si="344"/>
        <v>0.21299454694703313</v>
      </c>
      <c r="T402" s="154">
        <f t="shared" si="325"/>
        <v>5.8560000000000008</v>
      </c>
      <c r="U402" s="154">
        <f t="shared" si="326"/>
        <v>26.94513042222264</v>
      </c>
      <c r="V402" s="157">
        <f t="shared" si="327"/>
        <v>1.2567991276250097</v>
      </c>
      <c r="W402" s="158">
        <f t="shared" si="328"/>
        <v>1.1470423784773781E-2</v>
      </c>
      <c r="X402" s="157">
        <f t="shared" si="329"/>
        <v>5.8192453859058979</v>
      </c>
      <c r="Y402" s="143">
        <f t="shared" si="330"/>
        <v>284.41407043102947</v>
      </c>
      <c r="Z402" s="157">
        <f t="shared" si="331"/>
        <v>1.2278508908229964</v>
      </c>
      <c r="AA402" s="158">
        <f t="shared" si="332"/>
        <v>1.1101089323670769E-2</v>
      </c>
      <c r="AB402" s="157">
        <f t="shared" si="333"/>
        <v>5.6847265518700132</v>
      </c>
      <c r="AC402" s="157">
        <f t="shared" si="345"/>
        <v>164.02943390312751</v>
      </c>
      <c r="AD402" s="123">
        <f t="shared" si="346"/>
        <v>-0.30322580645161296</v>
      </c>
      <c r="AE402" s="108">
        <f t="shared" si="347"/>
        <v>161.00127538118977</v>
      </c>
      <c r="AF402" s="123">
        <f t="shared" si="334"/>
        <v>281.63896657211239</v>
      </c>
      <c r="AG402" s="125">
        <f t="shared" si="335"/>
        <v>164.02943390312751</v>
      </c>
      <c r="AH402" s="292">
        <f t="shared" si="336"/>
        <v>13.814641481449808</v>
      </c>
      <c r="AI402" s="119">
        <f t="shared" si="337"/>
        <v>82.023963818394691</v>
      </c>
      <c r="AJ402" s="119">
        <f t="shared" si="338"/>
        <v>31.292267365661871</v>
      </c>
      <c r="AK402" s="175"/>
      <c r="AL402" s="28"/>
      <c r="AM402" s="108"/>
      <c r="AN402" s="260"/>
      <c r="AO402" s="102"/>
      <c r="AP402" s="120"/>
      <c r="AQ402" s="120"/>
      <c r="AR402" s="119"/>
      <c r="AS402" s="123"/>
      <c r="AT402" s="123"/>
      <c r="AU402" s="124"/>
      <c r="AV402" s="124"/>
      <c r="AW402" s="108"/>
      <c r="AX402" s="102"/>
      <c r="AY402" s="102"/>
      <c r="AZ402" s="119"/>
      <c r="BA402" s="123"/>
      <c r="BB402" s="123"/>
      <c r="BC402" s="108"/>
      <c r="BD402" s="108"/>
      <c r="BE402" s="260"/>
      <c r="BF402" s="102"/>
      <c r="BG402" s="120"/>
      <c r="BH402" s="102"/>
      <c r="BI402" s="261"/>
      <c r="BJ402" s="119"/>
      <c r="BK402" s="261"/>
      <c r="BL402" s="102"/>
      <c r="BM402" s="119"/>
      <c r="BN402" s="123"/>
      <c r="BO402" s="123"/>
      <c r="BP402" s="123"/>
      <c r="BQ402" s="108"/>
      <c r="BR402" s="108"/>
      <c r="BS402" s="124"/>
      <c r="BT402" s="108"/>
      <c r="BU402" s="260"/>
      <c r="BV402" s="102"/>
      <c r="BW402" s="120"/>
      <c r="BX402" s="120"/>
      <c r="BY402" s="254"/>
      <c r="BZ402" s="254"/>
      <c r="CA402" s="253"/>
      <c r="CB402" s="256"/>
      <c r="CC402" s="256"/>
      <c r="CD402" s="257"/>
      <c r="CE402" s="255"/>
      <c r="CF402" s="255"/>
      <c r="CG402" s="126"/>
      <c r="CH402" s="209"/>
      <c r="CI402" s="256"/>
      <c r="CJ402" s="208"/>
      <c r="CK402" s="208"/>
      <c r="CL402" s="254"/>
      <c r="CM402" s="209"/>
      <c r="CN402" s="254"/>
      <c r="CO402" s="28"/>
      <c r="CP402" s="28"/>
      <c r="CQ402" s="28"/>
      <c r="CR402" s="28"/>
      <c r="CS402" s="28"/>
      <c r="CT402" s="28"/>
      <c r="CU402" s="28"/>
      <c r="CV402" s="28"/>
    </row>
    <row r="403" spans="1:100" ht="12" customHeight="1" x14ac:dyDescent="0.2">
      <c r="A403" s="200" t="s">
        <v>365</v>
      </c>
      <c r="B403" s="37">
        <f t="shared" si="339"/>
        <v>161.00127538118977</v>
      </c>
      <c r="C403" s="161">
        <v>0</v>
      </c>
      <c r="D403" s="26">
        <f t="shared" si="341"/>
        <v>0.30322580645161296</v>
      </c>
      <c r="E403" s="118">
        <v>1</v>
      </c>
      <c r="F403" s="118">
        <f t="shared" si="314"/>
        <v>1</v>
      </c>
      <c r="G403" s="147">
        <f t="shared" si="342"/>
        <v>281.63896657211239</v>
      </c>
      <c r="H403" s="148">
        <f t="shared" si="315"/>
        <v>0.62682869109015604</v>
      </c>
      <c r="I403" s="149">
        <f t="shared" si="316"/>
        <v>0.31323699549434691</v>
      </c>
      <c r="J403" s="150">
        <f t="shared" si="317"/>
        <v>4.2474171206179578</v>
      </c>
      <c r="K403" s="151">
        <f t="shared" si="318"/>
        <v>2.4440843982471892E-5</v>
      </c>
      <c r="L403" s="151">
        <f t="shared" si="319"/>
        <v>2.8573335366256303E-5</v>
      </c>
      <c r="M403" s="152">
        <f t="shared" si="320"/>
        <v>902.90481480366793</v>
      </c>
      <c r="N403" s="153">
        <f t="shared" si="321"/>
        <v>8.8642711899544618E-2</v>
      </c>
      <c r="O403" s="154">
        <f t="shared" si="322"/>
        <v>5.6541678599436791</v>
      </c>
      <c r="P403" s="155">
        <f t="shared" si="323"/>
        <v>0.68142975043572407</v>
      </c>
      <c r="Q403" s="154">
        <f t="shared" si="324"/>
        <v>4.4302381417299093E-2</v>
      </c>
      <c r="R403" s="154"/>
      <c r="S403" s="154"/>
      <c r="T403" s="154">
        <f t="shared" si="325"/>
        <v>0</v>
      </c>
      <c r="U403" s="154">
        <f t="shared" si="326"/>
        <v>0</v>
      </c>
      <c r="V403" s="157">
        <f t="shared" si="327"/>
        <v>0</v>
      </c>
      <c r="W403" s="158">
        <f t="shared" si="328"/>
        <v>0</v>
      </c>
      <c r="X403" s="157">
        <f t="shared" si="329"/>
        <v>0</v>
      </c>
      <c r="Y403" s="143">
        <f t="shared" si="330"/>
        <v>281.63896657211239</v>
      </c>
      <c r="Z403" s="157">
        <f t="shared" si="331"/>
        <v>0</v>
      </c>
      <c r="AA403" s="158">
        <f t="shared" si="332"/>
        <v>0</v>
      </c>
      <c r="AB403" s="157">
        <f t="shared" si="333"/>
        <v>0</v>
      </c>
      <c r="AC403" s="157">
        <f t="shared" si="345"/>
        <v>164.02943390312751</v>
      </c>
      <c r="AD403" s="123"/>
      <c r="AE403" s="123"/>
      <c r="AF403" s="108"/>
      <c r="AG403" s="125"/>
      <c r="AH403" s="209"/>
      <c r="AI403" s="104"/>
      <c r="AJ403" s="104"/>
      <c r="AK403" s="175"/>
      <c r="AL403" s="28"/>
      <c r="AM403" s="108"/>
      <c r="AN403" s="260"/>
      <c r="AO403" s="102"/>
      <c r="AP403" s="120"/>
      <c r="AQ403" s="120"/>
      <c r="AR403" s="119"/>
      <c r="AS403" s="123"/>
      <c r="AT403" s="123"/>
      <c r="AU403" s="124"/>
      <c r="AV403" s="124"/>
      <c r="AW403" s="108"/>
      <c r="AX403" s="102"/>
      <c r="AY403" s="102"/>
      <c r="AZ403" s="119"/>
      <c r="BA403" s="123"/>
      <c r="BB403" s="123"/>
      <c r="BC403" s="108"/>
      <c r="BD403" s="108"/>
      <c r="BE403" s="260"/>
      <c r="BF403" s="102"/>
      <c r="BG403" s="120"/>
      <c r="BH403" s="102"/>
      <c r="BI403" s="261"/>
      <c r="BJ403" s="119"/>
      <c r="BK403" s="261"/>
      <c r="BL403" s="102"/>
      <c r="BM403" s="119"/>
      <c r="BN403" s="123"/>
      <c r="BO403" s="123"/>
      <c r="BP403" s="123"/>
      <c r="BQ403" s="108"/>
      <c r="BR403" s="108"/>
      <c r="BS403" s="124"/>
      <c r="BT403" s="108"/>
      <c r="BU403" s="260"/>
      <c r="BV403" s="102"/>
      <c r="BW403" s="120"/>
      <c r="BX403" s="120"/>
      <c r="BY403" s="254"/>
      <c r="BZ403" s="254"/>
      <c r="CA403" s="253"/>
      <c r="CB403" s="256"/>
      <c r="CC403" s="256"/>
      <c r="CD403" s="257"/>
      <c r="CE403" s="255"/>
      <c r="CF403" s="255"/>
      <c r="CG403" s="126"/>
      <c r="CH403" s="209"/>
      <c r="CI403" s="256"/>
      <c r="CJ403" s="208"/>
      <c r="CK403" s="208"/>
      <c r="CL403" s="254"/>
      <c r="CM403" s="209"/>
      <c r="CN403" s="254"/>
      <c r="CO403" s="28"/>
      <c r="CP403" s="28"/>
      <c r="CQ403" s="28"/>
      <c r="CR403" s="28"/>
      <c r="CS403" s="28"/>
      <c r="CT403" s="28"/>
      <c r="CU403" s="28"/>
      <c r="CV403" s="28"/>
    </row>
    <row r="404" spans="1:100" ht="12" customHeight="1" x14ac:dyDescent="0.2">
      <c r="A404" s="36"/>
      <c r="B404" s="1"/>
      <c r="C404" s="1"/>
      <c r="D404" s="1"/>
      <c r="E404" s="1"/>
      <c r="F404" s="163"/>
      <c r="G404" s="119"/>
      <c r="H404" s="1"/>
      <c r="I404" s="37"/>
      <c r="J404" s="1"/>
      <c r="K404" s="1"/>
      <c r="L404" s="108"/>
      <c r="M404" s="1"/>
      <c r="N404" s="164"/>
      <c r="O404" s="1"/>
      <c r="P404" s="1"/>
      <c r="Q404" s="1"/>
      <c r="R404" s="1"/>
      <c r="S404" s="1"/>
      <c r="T404" s="1"/>
      <c r="U404" s="1"/>
      <c r="V404" s="167"/>
      <c r="Y404" s="169"/>
      <c r="Z404" s="1"/>
      <c r="AA404" s="168"/>
      <c r="AB404" s="169"/>
      <c r="AC404" s="168"/>
      <c r="AD404" s="14"/>
      <c r="AE404" s="14"/>
      <c r="AF404" s="14"/>
      <c r="AG404" s="106"/>
      <c r="AH404" s="210"/>
      <c r="AI404" s="28"/>
      <c r="AJ404" s="28"/>
      <c r="AK404" s="211"/>
      <c r="AL404" s="28"/>
      <c r="AM404" s="108"/>
      <c r="AN404" s="260"/>
      <c r="AO404" s="102"/>
      <c r="AP404" s="120"/>
      <c r="AQ404" s="120"/>
      <c r="AR404" s="119"/>
      <c r="AS404" s="123"/>
      <c r="AT404" s="123"/>
      <c r="AU404" s="124"/>
      <c r="AV404" s="124"/>
      <c r="AW404" s="108"/>
      <c r="AX404" s="102"/>
      <c r="AY404" s="102"/>
      <c r="AZ404" s="119"/>
      <c r="BA404" s="123"/>
      <c r="BB404" s="123"/>
      <c r="BC404" s="108"/>
      <c r="BD404" s="108"/>
      <c r="BE404" s="260"/>
      <c r="BF404" s="102"/>
      <c r="BG404" s="120"/>
      <c r="BH404" s="102"/>
      <c r="BI404" s="261"/>
      <c r="BJ404" s="119"/>
      <c r="BK404" s="261"/>
      <c r="BL404" s="102"/>
      <c r="BM404" s="119"/>
      <c r="BN404" s="123"/>
      <c r="BO404" s="123"/>
      <c r="BP404" s="123"/>
      <c r="BQ404" s="108"/>
      <c r="BR404" s="108"/>
      <c r="BS404" s="124"/>
      <c r="BT404" s="108"/>
      <c r="BU404" s="260"/>
      <c r="BV404" s="102"/>
      <c r="BW404" s="120"/>
      <c r="BX404" s="120"/>
      <c r="BY404" s="254"/>
      <c r="BZ404" s="254"/>
      <c r="CA404" s="253"/>
      <c r="CB404" s="256"/>
      <c r="CC404" s="256"/>
      <c r="CD404" s="257"/>
      <c r="CE404" s="255"/>
      <c r="CF404" s="255"/>
      <c r="CG404" s="126"/>
      <c r="CH404" s="209"/>
      <c r="CI404" s="256"/>
      <c r="CJ404" s="208"/>
      <c r="CK404" s="208"/>
      <c r="CL404" s="254"/>
      <c r="CM404" s="209"/>
      <c r="CN404" s="254"/>
      <c r="CO404" s="28"/>
      <c r="CP404" s="28"/>
      <c r="CQ404" s="28"/>
      <c r="CR404" s="28"/>
      <c r="CS404" s="28"/>
      <c r="CT404" s="28"/>
      <c r="CU404" s="28"/>
      <c r="CV404" s="28"/>
    </row>
    <row r="405" spans="1:100" ht="12" customHeight="1" x14ac:dyDescent="0.2">
      <c r="A405" s="36" t="s">
        <v>366</v>
      </c>
      <c r="B405" s="12">
        <f>G403</f>
        <v>281.63896657211239</v>
      </c>
      <c r="C405" s="1" t="s">
        <v>13</v>
      </c>
      <c r="D405" s="1"/>
      <c r="E405" s="37">
        <f>(B405)*1.8+32</f>
        <v>538.95013982980231</v>
      </c>
      <c r="F405" s="1" t="s">
        <v>144</v>
      </c>
      <c r="G405" s="13"/>
      <c r="H405" s="1"/>
      <c r="N405" s="1"/>
      <c r="O405" s="1"/>
      <c r="P405" s="1"/>
      <c r="Q405" s="1"/>
      <c r="R405" s="1"/>
      <c r="S405" s="1"/>
      <c r="T405" s="1"/>
      <c r="U405" s="1"/>
      <c r="V405" s="168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38"/>
      <c r="AI405" s="166"/>
      <c r="AJ405" s="212"/>
      <c r="AL405" s="28"/>
      <c r="AM405" s="108"/>
      <c r="AN405" s="260"/>
      <c r="AO405" s="102"/>
      <c r="AP405" s="120"/>
      <c r="AQ405" s="120"/>
      <c r="AR405" s="119"/>
      <c r="AS405" s="123"/>
      <c r="AT405" s="123"/>
      <c r="AU405" s="124"/>
      <c r="AV405" s="124"/>
      <c r="AW405" s="108"/>
      <c r="AX405" s="102"/>
      <c r="AY405" s="102"/>
      <c r="AZ405" s="119"/>
      <c r="BA405" s="123"/>
      <c r="BB405" s="123"/>
      <c r="BC405" s="108"/>
      <c r="BD405" s="108"/>
      <c r="BE405" s="260"/>
      <c r="BF405" s="102"/>
      <c r="BG405" s="120"/>
      <c r="BH405" s="102"/>
      <c r="BI405" s="261"/>
      <c r="BJ405" s="119"/>
      <c r="BK405" s="261"/>
      <c r="BL405" s="102"/>
      <c r="BM405" s="119"/>
      <c r="BN405" s="123"/>
      <c r="BO405" s="123"/>
      <c r="BP405" s="123"/>
      <c r="BQ405" s="108"/>
      <c r="BR405" s="108"/>
      <c r="BS405" s="124"/>
      <c r="BT405" s="108"/>
      <c r="BU405" s="260"/>
      <c r="BV405" s="102"/>
      <c r="BW405" s="120"/>
      <c r="BX405" s="120"/>
      <c r="BY405" s="254"/>
      <c r="BZ405" s="254"/>
      <c r="CA405" s="253"/>
      <c r="CB405" s="256"/>
      <c r="CC405" s="256"/>
      <c r="CD405" s="257"/>
      <c r="CE405" s="255"/>
      <c r="CF405" s="255"/>
      <c r="CG405" s="126"/>
      <c r="CH405" s="209"/>
      <c r="CI405" s="256"/>
      <c r="CJ405" s="208"/>
      <c r="CK405" s="208"/>
      <c r="CL405" s="254"/>
      <c r="CM405" s="209"/>
      <c r="CN405" s="254"/>
      <c r="CO405" s="28"/>
      <c r="CP405" s="28"/>
      <c r="CQ405" s="28"/>
      <c r="CR405" s="28"/>
      <c r="CS405" s="28"/>
      <c r="CT405" s="28"/>
      <c r="CU405" s="28"/>
      <c r="CV405" s="28"/>
    </row>
    <row r="406" spans="1:100" ht="12" customHeight="1" x14ac:dyDescent="0.2">
      <c r="A406" s="36" t="s">
        <v>294</v>
      </c>
      <c r="B406" s="1"/>
      <c r="C406" s="99"/>
      <c r="D406" s="1"/>
      <c r="E406" s="1"/>
      <c r="F406" s="1"/>
      <c r="G406" s="1"/>
      <c r="H406" s="1"/>
      <c r="N406" s="1"/>
      <c r="O406" s="1"/>
      <c r="P406" s="1"/>
      <c r="Q406" s="1"/>
      <c r="R406" s="1"/>
      <c r="S406" s="1"/>
      <c r="T406" s="1"/>
      <c r="U406" s="1"/>
      <c r="V406" s="168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38"/>
      <c r="AI406" s="166"/>
      <c r="AJ406" s="212"/>
      <c r="AL406" s="28"/>
      <c r="AM406" s="108"/>
      <c r="AN406" s="260"/>
      <c r="AO406" s="102"/>
      <c r="AP406" s="120"/>
      <c r="AQ406" s="120"/>
      <c r="AR406" s="119"/>
      <c r="AS406" s="123"/>
      <c r="AT406" s="123"/>
      <c r="AU406" s="124"/>
      <c r="AV406" s="124"/>
      <c r="AW406" s="108"/>
      <c r="AX406" s="102"/>
      <c r="AY406" s="102"/>
      <c r="AZ406" s="119"/>
      <c r="BA406" s="123"/>
      <c r="BB406" s="123"/>
      <c r="BC406" s="108"/>
      <c r="BD406" s="108"/>
      <c r="BE406" s="260"/>
      <c r="BF406" s="102"/>
      <c r="BG406" s="120"/>
      <c r="BH406" s="102"/>
      <c r="BI406" s="261"/>
      <c r="BJ406" s="119"/>
      <c r="BK406" s="261"/>
      <c r="BL406" s="102"/>
      <c r="BM406" s="119"/>
      <c r="BN406" s="123"/>
      <c r="BO406" s="123"/>
      <c r="BP406" s="123"/>
      <c r="BQ406" s="108"/>
      <c r="BR406" s="108"/>
      <c r="BS406" s="124"/>
      <c r="BT406" s="108"/>
      <c r="BU406" s="260"/>
      <c r="BV406" s="102"/>
      <c r="BW406" s="120"/>
      <c r="BX406" s="120"/>
      <c r="BY406" s="254"/>
      <c r="BZ406" s="254"/>
      <c r="CA406" s="253"/>
      <c r="CB406" s="256"/>
      <c r="CC406" s="256"/>
      <c r="CD406" s="257"/>
      <c r="CE406" s="255"/>
      <c r="CF406" s="255"/>
      <c r="CG406" s="126"/>
      <c r="CH406" s="209"/>
      <c r="CI406" s="256"/>
      <c r="CJ406" s="208"/>
      <c r="CK406" s="208"/>
      <c r="CL406" s="254"/>
      <c r="CM406" s="209"/>
      <c r="CN406" s="254"/>
      <c r="CO406" s="28"/>
      <c r="CP406" s="28"/>
      <c r="CQ406" s="28"/>
      <c r="CR406" s="28"/>
      <c r="CS406" s="28"/>
      <c r="CT406" s="28"/>
      <c r="CU406" s="28"/>
      <c r="CV406" s="28"/>
    </row>
    <row r="407" spans="1:100" ht="12" customHeight="1" x14ac:dyDescent="0.2">
      <c r="A407" s="36" t="s">
        <v>367</v>
      </c>
      <c r="B407" s="26">
        <f>C121</f>
        <v>4.9725718173258766</v>
      </c>
      <c r="C407" s="1" t="s">
        <v>268</v>
      </c>
      <c r="D407" s="1"/>
      <c r="E407" s="1"/>
      <c r="F407" s="1"/>
      <c r="G407" s="1"/>
      <c r="H407" s="1"/>
      <c r="N407" s="1"/>
      <c r="O407" s="1"/>
      <c r="P407" s="1"/>
      <c r="Q407" s="1"/>
      <c r="R407" s="1"/>
      <c r="S407" s="1"/>
      <c r="T407" s="1"/>
      <c r="U407" s="1"/>
      <c r="V407" s="168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38"/>
      <c r="AI407" s="166"/>
      <c r="AJ407" s="212"/>
      <c r="AL407" s="28"/>
      <c r="AM407" s="108"/>
      <c r="AN407" s="260"/>
      <c r="AO407" s="102"/>
      <c r="AP407" s="120"/>
      <c r="AQ407" s="120"/>
      <c r="AR407" s="119"/>
      <c r="AS407" s="123"/>
      <c r="AT407" s="123"/>
      <c r="AU407" s="124"/>
      <c r="AV407" s="124"/>
      <c r="AW407" s="108"/>
      <c r="AX407" s="102"/>
      <c r="AY407" s="102"/>
      <c r="AZ407" s="119"/>
      <c r="BA407" s="123"/>
      <c r="BB407" s="123"/>
      <c r="BC407" s="108"/>
      <c r="BD407" s="108"/>
      <c r="BE407" s="260"/>
      <c r="BF407" s="102"/>
      <c r="BG407" s="120"/>
      <c r="BH407" s="102"/>
      <c r="BI407" s="261"/>
      <c r="BJ407" s="119"/>
      <c r="BK407" s="261"/>
      <c r="BL407" s="102"/>
      <c r="BM407" s="119"/>
      <c r="BN407" s="123"/>
      <c r="BO407" s="123"/>
      <c r="BP407" s="123"/>
      <c r="BQ407" s="108"/>
      <c r="BR407" s="108"/>
      <c r="BS407" s="124"/>
      <c r="BT407" s="108"/>
      <c r="BU407" s="260"/>
      <c r="BV407" s="102"/>
      <c r="BW407" s="120"/>
      <c r="BX407" s="120"/>
      <c r="BY407" s="254"/>
      <c r="BZ407" s="254"/>
      <c r="CA407" s="253"/>
      <c r="CB407" s="256"/>
      <c r="CC407" s="256"/>
      <c r="CD407" s="257"/>
      <c r="CE407" s="255"/>
      <c r="CF407" s="255"/>
      <c r="CG407" s="126"/>
      <c r="CH407" s="209"/>
      <c r="CI407" s="256"/>
      <c r="CJ407" s="208"/>
      <c r="CK407" s="208"/>
      <c r="CL407" s="254"/>
      <c r="CM407" s="209"/>
      <c r="CN407" s="254"/>
      <c r="CO407" s="28"/>
      <c r="CP407" s="28"/>
      <c r="CQ407" s="28"/>
      <c r="CR407" s="28"/>
      <c r="CS407" s="28"/>
      <c r="CT407" s="28"/>
      <c r="CU407" s="28"/>
      <c r="CV407" s="28"/>
    </row>
    <row r="408" spans="1:100" ht="12" customHeight="1" x14ac:dyDescent="0.2">
      <c r="A408" s="36" t="s">
        <v>368</v>
      </c>
      <c r="B408" s="26">
        <f>(AC403*B362)/1000</f>
        <v>4.2647652814813153</v>
      </c>
      <c r="C408" s="1" t="s">
        <v>268</v>
      </c>
      <c r="D408" s="1"/>
      <c r="E408" s="1"/>
      <c r="F408" s="1"/>
      <c r="G408" s="1"/>
      <c r="H408" s="1"/>
      <c r="N408" s="1"/>
      <c r="O408" s="1"/>
      <c r="P408" s="1"/>
      <c r="Q408" s="1"/>
      <c r="R408" s="1"/>
      <c r="S408" s="1"/>
      <c r="T408" s="1"/>
      <c r="U408" s="1"/>
      <c r="V408" s="168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38"/>
      <c r="AI408" s="166"/>
      <c r="AJ408" s="212"/>
      <c r="AL408" s="28"/>
      <c r="AM408" s="108"/>
      <c r="AN408" s="260"/>
      <c r="AO408" s="102"/>
      <c r="AP408" s="120"/>
      <c r="AQ408" s="120"/>
      <c r="AR408" s="119"/>
      <c r="AS408" s="123"/>
      <c r="AT408" s="123"/>
      <c r="AU408" s="124"/>
      <c r="AV408" s="124"/>
      <c r="AW408" s="108"/>
      <c r="AX408" s="102"/>
      <c r="AY408" s="102"/>
      <c r="AZ408" s="119"/>
      <c r="BA408" s="123"/>
      <c r="BB408" s="123"/>
      <c r="BC408" s="108"/>
      <c r="BD408" s="108"/>
      <c r="BE408" s="260"/>
      <c r="BF408" s="102"/>
      <c r="BG408" s="120"/>
      <c r="BH408" s="102"/>
      <c r="BI408" s="261"/>
      <c r="BJ408" s="119"/>
      <c r="BK408" s="261"/>
      <c r="BL408" s="102"/>
      <c r="BM408" s="119"/>
      <c r="BN408" s="123"/>
      <c r="BO408" s="123"/>
      <c r="BP408" s="123"/>
      <c r="BQ408" s="108"/>
      <c r="BR408" s="108"/>
      <c r="BS408" s="124"/>
      <c r="BT408" s="108"/>
      <c r="BU408" s="260"/>
      <c r="BV408" s="102"/>
      <c r="BW408" s="120"/>
      <c r="BX408" s="120"/>
      <c r="BY408" s="254"/>
      <c r="BZ408" s="254"/>
      <c r="CA408" s="253"/>
      <c r="CB408" s="256"/>
      <c r="CC408" s="256"/>
      <c r="CD408" s="257"/>
      <c r="CE408" s="255"/>
      <c r="CF408" s="255"/>
      <c r="CG408" s="126"/>
      <c r="CH408" s="209"/>
      <c r="CI408" s="256"/>
      <c r="CJ408" s="208"/>
      <c r="CK408" s="208"/>
      <c r="CL408" s="254"/>
      <c r="CM408" s="209"/>
      <c r="CN408" s="254"/>
      <c r="CO408" s="28"/>
      <c r="CP408" s="28"/>
      <c r="CQ408" s="28"/>
      <c r="CR408" s="28"/>
      <c r="CS408" s="28"/>
      <c r="CT408" s="28"/>
      <c r="CU408" s="28"/>
      <c r="CV408" s="28"/>
    </row>
    <row r="409" spans="1:100" ht="12" customHeight="1" x14ac:dyDescent="0.2">
      <c r="A409" s="36" t="s">
        <v>369</v>
      </c>
      <c r="B409" s="26">
        <f>C350</f>
        <v>1.151369132628087</v>
      </c>
      <c r="C409" s="1" t="s">
        <v>268</v>
      </c>
      <c r="D409" s="1" t="s">
        <v>370</v>
      </c>
      <c r="E409" s="1"/>
      <c r="N409" s="1"/>
      <c r="O409" s="1"/>
      <c r="P409" s="1"/>
      <c r="S409" s="26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38"/>
      <c r="AL409" s="28"/>
      <c r="AM409" s="108"/>
      <c r="AN409" s="260"/>
      <c r="AO409" s="102"/>
      <c r="AP409" s="120"/>
      <c r="AQ409" s="120"/>
      <c r="AR409" s="119"/>
      <c r="AS409" s="123"/>
      <c r="AT409" s="123"/>
      <c r="AU409" s="124"/>
      <c r="AV409" s="124"/>
      <c r="AW409" s="108"/>
      <c r="AX409" s="102"/>
      <c r="AY409" s="102"/>
      <c r="AZ409" s="119"/>
      <c r="BA409" s="123"/>
      <c r="BB409" s="123"/>
      <c r="BC409" s="108"/>
      <c r="BD409" s="108"/>
      <c r="BE409" s="260"/>
      <c r="BF409" s="102"/>
      <c r="BG409" s="120"/>
      <c r="BH409" s="102"/>
      <c r="BI409" s="261"/>
      <c r="BJ409" s="119"/>
      <c r="BK409" s="261"/>
      <c r="BL409" s="102"/>
      <c r="BM409" s="119"/>
      <c r="BN409" s="123"/>
      <c r="BO409" s="123"/>
      <c r="BP409" s="123"/>
      <c r="BQ409" s="108"/>
      <c r="BR409" s="108"/>
      <c r="BS409" s="124"/>
      <c r="BT409" s="108"/>
      <c r="BU409" s="260"/>
      <c r="BV409" s="102"/>
      <c r="BW409" s="120"/>
      <c r="BX409" s="120"/>
      <c r="BY409" s="254"/>
      <c r="BZ409" s="254"/>
      <c r="CA409" s="253"/>
      <c r="CB409" s="256"/>
      <c r="CC409" s="256"/>
      <c r="CD409" s="257"/>
      <c r="CE409" s="255"/>
      <c r="CF409" s="255"/>
      <c r="CG409" s="126"/>
      <c r="CH409" s="209"/>
      <c r="CI409" s="256"/>
      <c r="CJ409" s="208"/>
      <c r="CK409" s="208"/>
      <c r="CL409" s="254"/>
      <c r="CM409" s="209"/>
      <c r="CN409" s="254"/>
      <c r="CO409" s="28"/>
      <c r="CP409" s="28"/>
      <c r="CQ409" s="28"/>
      <c r="CR409" s="28"/>
      <c r="CS409" s="28"/>
      <c r="CT409" s="28"/>
      <c r="CU409" s="28"/>
      <c r="CV409" s="28"/>
    </row>
    <row r="410" spans="1:100" ht="12" customHeight="1" x14ac:dyDescent="0.2">
      <c r="A410" s="36" t="s">
        <v>371</v>
      </c>
      <c r="B410" s="26">
        <f>C132/1000</f>
        <v>0.76002082605977894</v>
      </c>
      <c r="C410" s="1" t="s">
        <v>268</v>
      </c>
      <c r="D410" s="1"/>
      <c r="E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S410" s="37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38"/>
      <c r="AL410" s="28"/>
      <c r="AM410" s="108"/>
      <c r="AN410" s="260"/>
      <c r="AO410" s="102"/>
      <c r="AP410" s="120"/>
      <c r="AQ410" s="120"/>
      <c r="AR410" s="119"/>
      <c r="AS410" s="123"/>
      <c r="AT410" s="123"/>
      <c r="AU410" s="124"/>
      <c r="AV410" s="124"/>
      <c r="AW410" s="108"/>
      <c r="AX410" s="102"/>
      <c r="AY410" s="102"/>
      <c r="AZ410" s="119"/>
      <c r="BA410" s="123"/>
      <c r="BB410" s="123"/>
      <c r="BC410" s="108"/>
      <c r="BD410" s="108"/>
      <c r="BE410" s="260"/>
      <c r="BF410" s="102"/>
      <c r="BG410" s="120"/>
      <c r="BH410" s="102"/>
      <c r="BI410" s="261"/>
      <c r="BJ410" s="119"/>
      <c r="BK410" s="261"/>
      <c r="BL410" s="102"/>
      <c r="BM410" s="119"/>
      <c r="BN410" s="123"/>
      <c r="BO410" s="123"/>
      <c r="BP410" s="123"/>
      <c r="BQ410" s="108"/>
      <c r="BR410" s="108"/>
      <c r="BS410" s="124"/>
      <c r="BT410" s="108"/>
      <c r="BU410" s="260"/>
      <c r="BV410" s="102"/>
      <c r="BW410" s="120"/>
      <c r="BX410" s="120"/>
      <c r="BY410" s="254"/>
      <c r="BZ410" s="254"/>
      <c r="CA410" s="253"/>
      <c r="CB410" s="256"/>
      <c r="CC410" s="256"/>
      <c r="CD410" s="257"/>
      <c r="CE410" s="255"/>
      <c r="CF410" s="255"/>
      <c r="CG410" s="126"/>
      <c r="CH410" s="209"/>
      <c r="CI410" s="256"/>
      <c r="CJ410" s="208"/>
      <c r="CK410" s="208"/>
      <c r="CL410" s="254"/>
      <c r="CM410" s="209"/>
      <c r="CN410" s="254"/>
      <c r="CO410" s="28"/>
      <c r="CP410" s="28"/>
      <c r="CQ410" s="28"/>
      <c r="CR410" s="28"/>
      <c r="CS410" s="28"/>
      <c r="CT410" s="28"/>
      <c r="CU410" s="28"/>
      <c r="CV410" s="28"/>
    </row>
    <row r="411" spans="1:100" ht="12" customHeight="1" x14ac:dyDescent="0.25">
      <c r="A41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S411" s="26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38"/>
      <c r="AL411" s="28"/>
      <c r="AM411" s="108"/>
      <c r="AN411" s="260"/>
      <c r="AO411" s="102"/>
      <c r="AP411" s="120"/>
      <c r="AQ411" s="120"/>
      <c r="AR411" s="119"/>
      <c r="AS411" s="123"/>
      <c r="AT411" s="123"/>
      <c r="AU411" s="124"/>
      <c r="AV411" s="124"/>
      <c r="AW411" s="108"/>
      <c r="AX411" s="102"/>
      <c r="AY411" s="102"/>
      <c r="AZ411" s="119"/>
      <c r="BA411" s="123"/>
      <c r="BB411" s="123"/>
      <c r="BC411" s="108"/>
      <c r="BD411" s="108"/>
      <c r="BE411" s="260"/>
      <c r="BF411" s="102"/>
      <c r="BG411" s="120"/>
      <c r="BH411" s="102"/>
      <c r="BI411" s="261"/>
      <c r="BJ411" s="119"/>
      <c r="BK411" s="261"/>
      <c r="BL411" s="102"/>
      <c r="BM411" s="119"/>
      <c r="BN411" s="123"/>
      <c r="BO411" s="123"/>
      <c r="BP411" s="123"/>
      <c r="BQ411" s="108"/>
      <c r="BR411" s="108"/>
      <c r="BS411" s="124"/>
      <c r="BT411" s="108"/>
      <c r="BU411" s="260"/>
      <c r="BV411" s="102"/>
      <c r="BW411" s="120"/>
      <c r="BX411" s="120"/>
      <c r="BY411" s="254"/>
      <c r="BZ411" s="254"/>
      <c r="CA411" s="253"/>
      <c r="CB411" s="256"/>
      <c r="CC411" s="256"/>
      <c r="CD411" s="257"/>
      <c r="CE411" s="255"/>
      <c r="CF411" s="255"/>
      <c r="CG411" s="126"/>
      <c r="CH411" s="209"/>
      <c r="CI411" s="256"/>
      <c r="CJ411" s="208"/>
      <c r="CK411" s="208"/>
      <c r="CL411" s="254"/>
      <c r="CM411" s="209"/>
      <c r="CN411" s="254"/>
      <c r="CO411" s="28"/>
      <c r="CP411" s="28"/>
      <c r="CQ411" s="28"/>
      <c r="CR411" s="28"/>
      <c r="CS411" s="28"/>
      <c r="CT411" s="28"/>
      <c r="CU411" s="28"/>
      <c r="CV411" s="28"/>
    </row>
    <row r="412" spans="1:100" ht="12" customHeight="1" x14ac:dyDescent="0.2">
      <c r="A412" s="9" t="s">
        <v>375</v>
      </c>
      <c r="B412" s="13"/>
      <c r="C412" s="1"/>
      <c r="D412" s="1"/>
      <c r="E412" s="37"/>
      <c r="F412" s="1"/>
      <c r="H412" s="1"/>
      <c r="I412" s="1"/>
      <c r="J412" s="1"/>
      <c r="K412" s="1"/>
      <c r="L412" s="1"/>
      <c r="M412" s="1"/>
      <c r="N412" s="1"/>
      <c r="O412" s="1"/>
      <c r="P412" s="1"/>
      <c r="S412" s="26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38"/>
      <c r="AL412" s="28"/>
      <c r="AM412" s="108"/>
      <c r="AN412" s="260"/>
      <c r="AO412" s="102"/>
      <c r="AP412" s="120"/>
      <c r="AQ412" s="120"/>
      <c r="AR412" s="119"/>
      <c r="AS412" s="123"/>
      <c r="AT412" s="123"/>
      <c r="AU412" s="124"/>
      <c r="AV412" s="124"/>
      <c r="AW412" s="108"/>
      <c r="AX412" s="102"/>
      <c r="AY412" s="102"/>
      <c r="AZ412" s="119"/>
      <c r="BA412" s="123"/>
      <c r="BB412" s="123"/>
      <c r="BC412" s="108"/>
      <c r="BD412" s="108"/>
      <c r="BE412" s="260"/>
      <c r="BF412" s="102"/>
      <c r="BG412" s="120"/>
      <c r="BH412" s="102"/>
      <c r="BI412" s="261"/>
      <c r="BJ412" s="119"/>
      <c r="BK412" s="261"/>
      <c r="BL412" s="102"/>
      <c r="BM412" s="119"/>
      <c r="BN412" s="123"/>
      <c r="BO412" s="123"/>
      <c r="BP412" s="123"/>
      <c r="BQ412" s="108"/>
      <c r="BR412" s="108"/>
      <c r="BS412" s="124"/>
      <c r="BT412" s="108"/>
      <c r="BU412" s="260"/>
      <c r="BV412" s="102"/>
      <c r="BW412" s="120"/>
      <c r="BX412" s="120"/>
      <c r="BY412" s="254"/>
      <c r="BZ412" s="254"/>
      <c r="CA412" s="253"/>
      <c r="CB412" s="256"/>
      <c r="CC412" s="256"/>
      <c r="CD412" s="257"/>
      <c r="CE412" s="255"/>
      <c r="CF412" s="255"/>
      <c r="CG412" s="126"/>
      <c r="CH412" s="209"/>
      <c r="CI412" s="256"/>
      <c r="CJ412" s="208"/>
      <c r="CK412" s="208"/>
      <c r="CL412" s="254"/>
      <c r="CM412" s="209"/>
      <c r="CN412" s="254"/>
      <c r="CO412" s="28"/>
      <c r="CP412" s="28"/>
      <c r="CQ412" s="28"/>
      <c r="CR412" s="28"/>
      <c r="CS412" s="28"/>
      <c r="CT412" s="28"/>
      <c r="CU412" s="28"/>
      <c r="CV412" s="28"/>
    </row>
    <row r="413" spans="1:100" ht="12" customHeight="1" x14ac:dyDescent="0.2">
      <c r="A413" s="36" t="s">
        <v>376</v>
      </c>
      <c r="B413" s="13">
        <f>(B407+B408+B409-B410)/(B10-B5)</f>
        <v>3.585961439350038E-3</v>
      </c>
      <c r="C413" s="1" t="s">
        <v>301</v>
      </c>
      <c r="D413" s="37">
        <f>B413/0.454*3600</f>
        <v>28.434936523480481</v>
      </c>
      <c r="E413" s="1" t="s">
        <v>377</v>
      </c>
      <c r="F413" s="1" t="s">
        <v>378</v>
      </c>
      <c r="G413" s="1"/>
      <c r="H413" s="1"/>
      <c r="I413" s="1"/>
      <c r="J413" s="1"/>
      <c r="K413" s="1"/>
      <c r="L413" s="1"/>
      <c r="M413" s="1"/>
      <c r="N413" s="1"/>
      <c r="O413" s="1"/>
      <c r="P413" s="1"/>
      <c r="S413" s="26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38"/>
      <c r="AL413" s="28"/>
      <c r="AM413" s="108"/>
      <c r="AN413" s="260"/>
      <c r="AO413" s="102"/>
      <c r="AP413" s="120"/>
      <c r="AQ413" s="120"/>
      <c r="AR413" s="119"/>
      <c r="AS413" s="123"/>
      <c r="AT413" s="123"/>
      <c r="AU413" s="124"/>
      <c r="AV413" s="124"/>
      <c r="AW413" s="108"/>
      <c r="AX413" s="102"/>
      <c r="AY413" s="102"/>
      <c r="AZ413" s="119"/>
      <c r="BA413" s="123"/>
      <c r="BB413" s="123"/>
      <c r="BC413" s="108"/>
      <c r="BD413" s="108"/>
      <c r="BE413" s="260"/>
      <c r="BF413" s="102"/>
      <c r="BG413" s="120"/>
      <c r="BH413" s="102"/>
      <c r="BI413" s="261"/>
      <c r="BJ413" s="119"/>
      <c r="BK413" s="261"/>
      <c r="BL413" s="102"/>
      <c r="BM413" s="119"/>
      <c r="BN413" s="123"/>
      <c r="BO413" s="123"/>
      <c r="BP413" s="123"/>
      <c r="BQ413" s="108"/>
      <c r="BR413" s="108"/>
      <c r="BS413" s="124"/>
      <c r="BT413" s="108"/>
      <c r="BU413" s="260"/>
      <c r="BV413" s="102"/>
      <c r="BW413" s="120"/>
      <c r="BX413" s="120"/>
      <c r="BY413" s="254"/>
      <c r="BZ413" s="254"/>
      <c r="CA413" s="253"/>
      <c r="CB413" s="256"/>
      <c r="CC413" s="256"/>
      <c r="CD413" s="257"/>
      <c r="CE413" s="255"/>
      <c r="CF413" s="255"/>
      <c r="CG413" s="126"/>
      <c r="CH413" s="209"/>
      <c r="CI413" s="256"/>
      <c r="CJ413" s="208"/>
      <c r="CK413" s="208"/>
      <c r="CL413" s="254"/>
      <c r="CM413" s="209"/>
      <c r="CN413" s="254"/>
      <c r="CO413" s="28"/>
      <c r="CP413" s="28"/>
      <c r="CQ413" s="28"/>
      <c r="CR413" s="28"/>
      <c r="CS413" s="28"/>
      <c r="CT413" s="28"/>
      <c r="CU413" s="28"/>
      <c r="CV413" s="28"/>
    </row>
    <row r="414" spans="1:100" ht="12" customHeight="1" x14ac:dyDescent="0.2">
      <c r="G414" s="1"/>
      <c r="H414" s="1"/>
      <c r="I414" s="1"/>
      <c r="J414" s="1"/>
      <c r="K414" s="1"/>
      <c r="L414" s="1"/>
      <c r="M414" s="1"/>
      <c r="N414" s="1"/>
      <c r="O414" s="1"/>
      <c r="P414" s="1"/>
      <c r="S414" s="26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38"/>
      <c r="AL414" s="28"/>
      <c r="AM414" s="108"/>
      <c r="AN414" s="260"/>
      <c r="AO414" s="102"/>
      <c r="AP414" s="120"/>
      <c r="AQ414" s="120"/>
      <c r="AR414" s="119"/>
      <c r="AS414" s="123"/>
      <c r="AT414" s="123"/>
      <c r="AU414" s="124"/>
      <c r="AV414" s="124"/>
      <c r="AW414" s="108"/>
      <c r="AX414" s="102"/>
      <c r="AY414" s="102"/>
      <c r="AZ414" s="119"/>
      <c r="BA414" s="123"/>
      <c r="BB414" s="123"/>
      <c r="BC414" s="108"/>
      <c r="BD414" s="108"/>
      <c r="BE414" s="260"/>
      <c r="BF414" s="102"/>
      <c r="BG414" s="120"/>
      <c r="BH414" s="102"/>
      <c r="BI414" s="261"/>
      <c r="BJ414" s="119"/>
      <c r="BK414" s="261"/>
      <c r="BL414" s="102"/>
      <c r="BM414" s="119"/>
      <c r="BN414" s="123"/>
      <c r="BO414" s="123"/>
      <c r="BP414" s="123"/>
      <c r="BQ414" s="108"/>
      <c r="BR414" s="108"/>
      <c r="BS414" s="124"/>
      <c r="BT414" s="108"/>
      <c r="BU414" s="260"/>
      <c r="BV414" s="102"/>
      <c r="BW414" s="120"/>
      <c r="BX414" s="120"/>
      <c r="BY414" s="254"/>
      <c r="BZ414" s="254"/>
      <c r="CA414" s="253"/>
      <c r="CB414" s="256"/>
      <c r="CC414" s="256"/>
      <c r="CD414" s="257"/>
      <c r="CE414" s="255"/>
      <c r="CF414" s="255"/>
      <c r="CG414" s="126"/>
      <c r="CH414" s="209"/>
      <c r="CI414" s="256"/>
      <c r="CJ414" s="208"/>
      <c r="CK414" s="208"/>
      <c r="CL414" s="254"/>
      <c r="CM414" s="209"/>
      <c r="CN414" s="254"/>
      <c r="CO414" s="28"/>
      <c r="CP414" s="28"/>
      <c r="CQ414" s="28"/>
      <c r="CR414" s="28"/>
      <c r="CS414" s="28"/>
      <c r="CT414" s="28"/>
      <c r="CU414" s="28"/>
      <c r="CV414" s="28"/>
    </row>
    <row r="415" spans="1:100" ht="12" customHeight="1" x14ac:dyDescent="0.2">
      <c r="A415" s="36" t="s">
        <v>379</v>
      </c>
      <c r="B415" s="13">
        <f>SUM(O377:O403)</f>
        <v>34.425033327826341</v>
      </c>
      <c r="C415" s="1" t="s">
        <v>280</v>
      </c>
      <c r="E415" s="99">
        <f>B415/1000/9.81*1000</f>
        <v>3.5091777092585463</v>
      </c>
      <c r="F415" s="1" t="s">
        <v>380</v>
      </c>
      <c r="G415" s="1"/>
      <c r="H415" s="1"/>
      <c r="I415" s="1"/>
      <c r="J415" s="1"/>
      <c r="K415" s="1"/>
      <c r="L415" s="1"/>
      <c r="M415" s="1"/>
      <c r="N415" s="1"/>
      <c r="O415" s="1"/>
      <c r="P415" s="1"/>
      <c r="S415" s="99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38"/>
      <c r="AL415" s="28"/>
      <c r="AM415" s="108"/>
      <c r="AN415" s="260"/>
      <c r="AO415" s="102"/>
      <c r="AP415" s="120"/>
      <c r="AQ415" s="120"/>
      <c r="AR415" s="119"/>
      <c r="AS415" s="123"/>
      <c r="AT415" s="123"/>
      <c r="AU415" s="124"/>
      <c r="AV415" s="124"/>
      <c r="AW415" s="108"/>
      <c r="AX415" s="102"/>
      <c r="AY415" s="102"/>
      <c r="AZ415" s="119"/>
      <c r="BA415" s="123"/>
      <c r="BB415" s="123"/>
      <c r="BC415" s="108"/>
      <c r="BD415" s="108"/>
      <c r="BE415" s="260"/>
      <c r="BF415" s="102"/>
      <c r="BG415" s="120"/>
      <c r="BH415" s="102"/>
      <c r="BI415" s="261"/>
      <c r="BJ415" s="119"/>
      <c r="BK415" s="261"/>
      <c r="BL415" s="102"/>
      <c r="BM415" s="119"/>
      <c r="BN415" s="123"/>
      <c r="BO415" s="123"/>
      <c r="BP415" s="123"/>
      <c r="BQ415" s="108"/>
      <c r="BR415" s="108"/>
      <c r="BS415" s="124"/>
      <c r="BT415" s="108"/>
      <c r="BU415" s="260"/>
      <c r="BV415" s="102"/>
      <c r="BW415" s="120"/>
      <c r="BX415" s="120"/>
      <c r="BY415" s="254"/>
      <c r="BZ415" s="254"/>
      <c r="CA415" s="253"/>
      <c r="CB415" s="256"/>
      <c r="CC415" s="256"/>
      <c r="CD415" s="257"/>
      <c r="CE415" s="255"/>
      <c r="CF415" s="255"/>
      <c r="CG415" s="126"/>
      <c r="CH415" s="209"/>
      <c r="CI415" s="256"/>
      <c r="CJ415" s="208"/>
      <c r="CK415" s="208"/>
      <c r="CL415" s="254"/>
      <c r="CM415" s="209"/>
      <c r="CN415" s="254"/>
      <c r="CO415" s="28"/>
      <c r="CP415" s="28"/>
      <c r="CQ415" s="28"/>
      <c r="CR415" s="28"/>
      <c r="CS415" s="28"/>
      <c r="CT415" s="28"/>
      <c r="CU415" s="28"/>
      <c r="CV415" s="28"/>
    </row>
    <row r="416" spans="1:100" ht="12" customHeight="1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F416" s="42"/>
      <c r="AG416" s="43"/>
      <c r="AL416" s="28"/>
      <c r="AM416" s="108"/>
      <c r="AN416" s="260"/>
      <c r="AO416" s="102"/>
      <c r="AP416" s="120"/>
      <c r="AQ416" s="120"/>
      <c r="AR416" s="119"/>
      <c r="AS416" s="123"/>
      <c r="AT416" s="123"/>
      <c r="AU416" s="124"/>
      <c r="AV416" s="124"/>
      <c r="AW416" s="108"/>
      <c r="AX416" s="102"/>
      <c r="AY416" s="102"/>
      <c r="AZ416" s="119"/>
      <c r="BA416" s="123"/>
      <c r="BB416" s="123"/>
      <c r="BC416" s="108"/>
      <c r="BD416" s="108"/>
      <c r="BE416" s="260"/>
      <c r="BF416" s="102"/>
      <c r="BG416" s="120"/>
      <c r="BH416" s="102"/>
      <c r="BI416" s="261"/>
      <c r="BJ416" s="119"/>
      <c r="BK416" s="261"/>
      <c r="BL416" s="102"/>
      <c r="BM416" s="119"/>
      <c r="BN416" s="123"/>
      <c r="BO416" s="123"/>
      <c r="BP416" s="123"/>
      <c r="BQ416" s="108"/>
      <c r="BR416" s="108"/>
      <c r="BS416" s="124"/>
      <c r="BT416" s="108"/>
      <c r="BU416" s="260"/>
      <c r="BV416" s="102"/>
      <c r="BW416" s="120"/>
      <c r="BX416" s="120"/>
      <c r="BY416" s="254"/>
      <c r="BZ416" s="254"/>
      <c r="CA416" s="253"/>
      <c r="CB416" s="256"/>
      <c r="CC416" s="256"/>
      <c r="CD416" s="257"/>
      <c r="CE416" s="255"/>
      <c r="CF416" s="255"/>
      <c r="CG416" s="126"/>
      <c r="CH416" s="209"/>
      <c r="CI416" s="256"/>
      <c r="CJ416" s="208"/>
      <c r="CK416" s="208"/>
      <c r="CL416" s="254"/>
      <c r="CM416" s="209"/>
      <c r="CN416" s="254"/>
      <c r="CO416" s="28"/>
      <c r="CP416" s="28"/>
      <c r="CQ416" s="28"/>
      <c r="CR416" s="28"/>
      <c r="CS416" s="28"/>
      <c r="CT416" s="28"/>
      <c r="CU416" s="28"/>
      <c r="CV416" s="28"/>
    </row>
    <row r="417" spans="1:100" ht="12" customHeight="1" x14ac:dyDescent="0.2">
      <c r="A417" s="32" t="s">
        <v>500</v>
      </c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102"/>
      <c r="P417" s="120"/>
      <c r="Q417" s="102"/>
      <c r="R417" s="175"/>
      <c r="S417" s="122"/>
      <c r="T417" s="102"/>
      <c r="U417" s="28"/>
      <c r="V417" s="28"/>
      <c r="W417" s="119"/>
      <c r="X417" s="108"/>
      <c r="Y417" s="108"/>
      <c r="Z417" s="28"/>
      <c r="AA417" s="28"/>
      <c r="AB417" s="260"/>
      <c r="AC417" s="102"/>
      <c r="AD417" s="120"/>
      <c r="AE417" s="120"/>
      <c r="AF417" s="175"/>
      <c r="AG417" s="175"/>
      <c r="AH417" s="214"/>
      <c r="AI417" s="261"/>
      <c r="AJ417" s="291"/>
      <c r="AK417" s="256"/>
      <c r="AL417" s="28"/>
      <c r="AM417" s="108"/>
      <c r="AN417" s="260"/>
      <c r="AO417" s="102"/>
      <c r="AP417" s="120"/>
      <c r="AQ417" s="120"/>
      <c r="AR417" s="119"/>
      <c r="AS417" s="123"/>
      <c r="AT417" s="123"/>
      <c r="AU417" s="124"/>
      <c r="AV417" s="124"/>
      <c r="AW417" s="108"/>
      <c r="AX417" s="102"/>
      <c r="AY417" s="102"/>
      <c r="AZ417" s="119"/>
      <c r="BA417" s="123"/>
      <c r="BB417" s="123"/>
      <c r="BC417" s="108"/>
      <c r="BD417" s="108"/>
      <c r="BE417" s="260"/>
      <c r="BF417" s="102"/>
      <c r="BG417" s="120"/>
      <c r="BH417" s="102"/>
      <c r="BI417" s="261"/>
      <c r="BJ417" s="119"/>
      <c r="BK417" s="261"/>
      <c r="BL417" s="102"/>
      <c r="BM417" s="119"/>
      <c r="BN417" s="123"/>
      <c r="BO417" s="123"/>
      <c r="BP417" s="123"/>
      <c r="BQ417" s="108"/>
      <c r="BR417" s="108"/>
      <c r="BS417" s="124"/>
      <c r="BT417" s="108"/>
      <c r="BU417" s="260"/>
      <c r="BV417" s="102"/>
      <c r="BW417" s="120"/>
      <c r="BX417" s="120"/>
      <c r="BY417" s="254"/>
      <c r="BZ417" s="254"/>
      <c r="CA417" s="253"/>
      <c r="CB417" s="256"/>
      <c r="CC417" s="256"/>
      <c r="CD417" s="257"/>
      <c r="CE417" s="255"/>
      <c r="CF417" s="255"/>
      <c r="CG417" s="126"/>
      <c r="CH417" s="209"/>
      <c r="CI417" s="256"/>
      <c r="CJ417" s="208"/>
      <c r="CK417" s="208"/>
      <c r="CL417" s="254"/>
      <c r="CM417" s="209"/>
      <c r="CN417" s="254"/>
      <c r="CO417" s="28"/>
      <c r="CP417" s="28"/>
      <c r="CQ417" s="28"/>
      <c r="CR417" s="28"/>
      <c r="CS417" s="28"/>
      <c r="CT417" s="28"/>
      <c r="CU417" s="28"/>
      <c r="CV417" s="28"/>
    </row>
    <row r="418" spans="1:100" ht="12" customHeight="1" x14ac:dyDescent="0.2">
      <c r="A418" s="36" t="s">
        <v>334</v>
      </c>
      <c r="B418" s="1">
        <f>'Data Input'!B42</f>
        <v>5</v>
      </c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2"/>
      <c r="P418" s="120"/>
      <c r="Q418" s="102"/>
      <c r="R418" s="175"/>
      <c r="S418" s="122"/>
      <c r="T418" s="102"/>
      <c r="U418" s="28"/>
      <c r="V418" s="28"/>
      <c r="W418" s="119"/>
      <c r="X418" s="108"/>
      <c r="Y418" s="108"/>
      <c r="Z418" s="28"/>
      <c r="AA418" s="28"/>
      <c r="AB418" s="260"/>
      <c r="AC418" s="102"/>
      <c r="AD418" s="120"/>
      <c r="AE418" s="120"/>
      <c r="AF418" s="175"/>
      <c r="AG418" s="175"/>
      <c r="AH418" s="214"/>
      <c r="AI418" s="261"/>
      <c r="AJ418" s="291"/>
      <c r="AK418" s="256"/>
      <c r="AL418" s="28"/>
      <c r="AM418" s="108"/>
      <c r="AN418" s="260"/>
      <c r="AO418" s="102"/>
      <c r="AP418" s="120"/>
      <c r="AQ418" s="120"/>
      <c r="AR418" s="119"/>
      <c r="AS418" s="123"/>
      <c r="AT418" s="123"/>
      <c r="AU418" s="124"/>
      <c r="AV418" s="124"/>
      <c r="AW418" s="108"/>
      <c r="AX418" s="102"/>
      <c r="AY418" s="102"/>
      <c r="AZ418" s="119"/>
      <c r="BA418" s="123"/>
      <c r="BB418" s="123"/>
      <c r="BC418" s="108"/>
      <c r="BD418" s="108"/>
      <c r="BE418" s="260"/>
      <c r="BF418" s="102"/>
      <c r="BG418" s="120"/>
      <c r="BH418" s="102"/>
      <c r="BI418" s="261"/>
      <c r="BJ418" s="119"/>
      <c r="BK418" s="261"/>
      <c r="BL418" s="102"/>
      <c r="BM418" s="119"/>
      <c r="BN418" s="123"/>
      <c r="BO418" s="123"/>
      <c r="BP418" s="123"/>
      <c r="BQ418" s="108"/>
      <c r="BR418" s="108"/>
      <c r="BS418" s="124"/>
      <c r="BT418" s="108"/>
      <c r="BU418" s="260"/>
      <c r="BV418" s="102"/>
      <c r="BW418" s="120"/>
      <c r="BX418" s="120"/>
      <c r="BY418" s="254"/>
      <c r="BZ418" s="254"/>
      <c r="CA418" s="253"/>
      <c r="CB418" s="256"/>
      <c r="CC418" s="256"/>
      <c r="CD418" s="257"/>
      <c r="CE418" s="255"/>
      <c r="CF418" s="255"/>
      <c r="CG418" s="126"/>
      <c r="CH418" s="209"/>
      <c r="CI418" s="256"/>
      <c r="CJ418" s="208"/>
      <c r="CK418" s="208"/>
      <c r="CL418" s="254"/>
      <c r="CM418" s="209"/>
      <c r="CN418" s="254"/>
      <c r="CO418" s="28"/>
      <c r="CP418" s="28"/>
      <c r="CQ418" s="28"/>
      <c r="CR418" s="28"/>
      <c r="CS418" s="28"/>
      <c r="CT418" s="28"/>
      <c r="CU418" s="28"/>
      <c r="CV418" s="28"/>
    </row>
    <row r="419" spans="1:100" ht="12" customHeight="1" x14ac:dyDescent="0.2">
      <c r="A419" s="36" t="s">
        <v>68</v>
      </c>
      <c r="B419" s="1">
        <f>'Data Input'!B43</f>
        <v>1</v>
      </c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2"/>
      <c r="P419" s="120"/>
      <c r="Q419" s="102"/>
      <c r="R419" s="175"/>
      <c r="S419" s="122"/>
      <c r="T419" s="102"/>
      <c r="U419" s="28"/>
      <c r="V419" s="28"/>
      <c r="W419" s="119"/>
      <c r="X419" s="108"/>
      <c r="Y419" s="108"/>
      <c r="Z419" s="28"/>
      <c r="AA419" s="28"/>
      <c r="AB419" s="260"/>
      <c r="AC419" s="102"/>
      <c r="AD419" s="120"/>
      <c r="AE419" s="120"/>
      <c r="AF419" s="175"/>
      <c r="AG419" s="175"/>
      <c r="AH419" s="214"/>
      <c r="AI419" s="261"/>
      <c r="AJ419" s="291"/>
      <c r="AK419" s="256"/>
      <c r="AL419" s="28"/>
      <c r="AM419" s="108"/>
      <c r="AN419" s="260"/>
      <c r="AO419" s="102"/>
      <c r="AP419" s="120"/>
      <c r="AQ419" s="120"/>
      <c r="AR419" s="119"/>
      <c r="AS419" s="123"/>
      <c r="AT419" s="123"/>
      <c r="AU419" s="124"/>
      <c r="AV419" s="124"/>
      <c r="AW419" s="108"/>
      <c r="AX419" s="102"/>
      <c r="AY419" s="102"/>
      <c r="AZ419" s="119"/>
      <c r="BA419" s="123"/>
      <c r="BB419" s="123"/>
      <c r="BC419" s="108"/>
      <c r="BD419" s="108"/>
      <c r="BE419" s="260"/>
      <c r="BF419" s="102"/>
      <c r="BG419" s="120"/>
      <c r="BH419" s="102"/>
      <c r="BI419" s="261"/>
      <c r="BJ419" s="119"/>
      <c r="BK419" s="261"/>
      <c r="BL419" s="102"/>
      <c r="BM419" s="119"/>
      <c r="BN419" s="123"/>
      <c r="BO419" s="123"/>
      <c r="BP419" s="123"/>
      <c r="BQ419" s="108"/>
      <c r="BR419" s="108"/>
      <c r="BS419" s="124"/>
      <c r="BT419" s="108"/>
      <c r="BU419" s="260"/>
      <c r="BV419" s="102"/>
      <c r="BW419" s="120"/>
      <c r="BX419" s="120"/>
      <c r="BY419" s="254"/>
      <c r="BZ419" s="254"/>
      <c r="CA419" s="253"/>
      <c r="CB419" s="256"/>
      <c r="CC419" s="256"/>
      <c r="CD419" s="257"/>
      <c r="CE419" s="255"/>
      <c r="CF419" s="255"/>
      <c r="CG419" s="126"/>
      <c r="CH419" s="209"/>
      <c r="CI419" s="256"/>
      <c r="CJ419" s="208"/>
      <c r="CK419" s="208"/>
      <c r="CL419" s="254"/>
      <c r="CM419" s="209"/>
      <c r="CN419" s="254"/>
      <c r="CO419" s="28"/>
      <c r="CP419" s="28"/>
      <c r="CQ419" s="28"/>
      <c r="CR419" s="28"/>
      <c r="CS419" s="28"/>
      <c r="CT419" s="28"/>
      <c r="CU419" s="28"/>
      <c r="CV419" s="28"/>
    </row>
    <row r="420" spans="1:100" ht="12" customHeight="1" x14ac:dyDescent="0.2">
      <c r="A420" s="36" t="s">
        <v>382</v>
      </c>
      <c r="B420" s="12">
        <f>C116</f>
        <v>1034.2609350901587</v>
      </c>
      <c r="C420" s="1" t="s">
        <v>13</v>
      </c>
      <c r="D420" s="1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2"/>
      <c r="P420" s="120"/>
      <c r="Q420" s="102"/>
      <c r="R420" s="175"/>
      <c r="S420" s="122"/>
      <c r="T420" s="102"/>
      <c r="U420" s="28"/>
      <c r="V420" s="28"/>
      <c r="W420" s="119"/>
      <c r="X420" s="108"/>
      <c r="Y420" s="108"/>
      <c r="Z420" s="28"/>
      <c r="AA420" s="28"/>
      <c r="AB420" s="260"/>
      <c r="AC420" s="102"/>
      <c r="AD420" s="120"/>
      <c r="AE420" s="120"/>
      <c r="AF420" s="175"/>
      <c r="AG420" s="175"/>
      <c r="AH420" s="214"/>
      <c r="AI420" s="261"/>
      <c r="AJ420" s="291"/>
      <c r="AK420" s="256"/>
      <c r="AL420" s="28"/>
      <c r="AM420" s="108"/>
      <c r="AN420" s="260"/>
      <c r="AO420" s="102"/>
      <c r="AP420" s="120"/>
      <c r="AQ420" s="120"/>
      <c r="AR420" s="119"/>
      <c r="AS420" s="123"/>
      <c r="AT420" s="123"/>
      <c r="AU420" s="124"/>
      <c r="AV420" s="124"/>
      <c r="AW420" s="108"/>
      <c r="AX420" s="102"/>
      <c r="AY420" s="102"/>
      <c r="AZ420" s="119"/>
      <c r="BA420" s="123"/>
      <c r="BB420" s="123"/>
      <c r="BC420" s="108"/>
      <c r="BD420" s="108"/>
      <c r="BE420" s="260"/>
      <c r="BF420" s="102"/>
      <c r="BG420" s="120"/>
      <c r="BH420" s="102"/>
      <c r="BI420" s="261"/>
      <c r="BJ420" s="119"/>
      <c r="BK420" s="261"/>
      <c r="BL420" s="102"/>
      <c r="BM420" s="119"/>
      <c r="BN420" s="123"/>
      <c r="BO420" s="123"/>
      <c r="BP420" s="123"/>
      <c r="BQ420" s="108"/>
      <c r="BR420" s="108"/>
      <c r="BS420" s="124"/>
      <c r="BT420" s="108"/>
      <c r="BU420" s="260"/>
      <c r="BV420" s="102"/>
      <c r="BW420" s="120"/>
      <c r="BX420" s="120"/>
      <c r="BY420" s="254"/>
      <c r="BZ420" s="254"/>
      <c r="CA420" s="253"/>
      <c r="CB420" s="256"/>
      <c r="CC420" s="256"/>
      <c r="CD420" s="257"/>
      <c r="CE420" s="255"/>
      <c r="CF420" s="255"/>
      <c r="CG420" s="126"/>
      <c r="CH420" s="209"/>
      <c r="CI420" s="256"/>
      <c r="CJ420" s="208"/>
      <c r="CK420" s="208"/>
      <c r="CL420" s="254"/>
      <c r="CM420" s="209"/>
      <c r="CN420" s="254"/>
      <c r="CO420" s="28"/>
      <c r="CP420" s="28"/>
      <c r="CQ420" s="28"/>
      <c r="CR420" s="28"/>
      <c r="CS420" s="28"/>
      <c r="CT420" s="28"/>
      <c r="CU420" s="28"/>
      <c r="CV420" s="28"/>
    </row>
    <row r="421" spans="1:100" ht="12" customHeight="1" x14ac:dyDescent="0.2">
      <c r="A421" s="36" t="s">
        <v>383</v>
      </c>
      <c r="B421" s="213">
        <f>C346</f>
        <v>4.0195926018663826E-4</v>
      </c>
      <c r="C421" s="1" t="s">
        <v>153</v>
      </c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2"/>
      <c r="P421" s="120"/>
      <c r="Q421" s="102"/>
      <c r="R421" s="175"/>
      <c r="S421" s="122"/>
      <c r="T421" s="102"/>
      <c r="U421" s="28"/>
      <c r="V421" s="28"/>
      <c r="W421" s="119"/>
      <c r="X421" s="108"/>
      <c r="Y421" s="108"/>
      <c r="Z421" s="28"/>
      <c r="AA421" s="28"/>
      <c r="AB421" s="260"/>
      <c r="AC421" s="102"/>
      <c r="AD421" s="120"/>
      <c r="AE421" s="120"/>
      <c r="AF421" s="175"/>
      <c r="AG421" s="175"/>
      <c r="AH421" s="214"/>
      <c r="AI421" s="261"/>
      <c r="AJ421" s="291"/>
      <c r="AK421" s="256"/>
      <c r="AL421" s="28"/>
      <c r="AM421" s="108"/>
      <c r="AN421" s="260"/>
      <c r="AO421" s="102"/>
      <c r="AP421" s="120"/>
      <c r="AQ421" s="120"/>
      <c r="AR421" s="119"/>
      <c r="AS421" s="123"/>
      <c r="AT421" s="123"/>
      <c r="AU421" s="124"/>
      <c r="AV421" s="124"/>
      <c r="AW421" s="108"/>
      <c r="AX421" s="102"/>
      <c r="AY421" s="102"/>
      <c r="AZ421" s="119"/>
      <c r="BA421" s="123"/>
      <c r="BB421" s="123"/>
      <c r="BC421" s="108"/>
      <c r="BD421" s="108"/>
      <c r="BE421" s="260"/>
      <c r="BF421" s="102"/>
      <c r="BG421" s="120"/>
      <c r="BH421" s="102"/>
      <c r="BI421" s="261"/>
      <c r="BJ421" s="119"/>
      <c r="BK421" s="261"/>
      <c r="BL421" s="102"/>
      <c r="BM421" s="119"/>
      <c r="BN421" s="123"/>
      <c r="BO421" s="123"/>
      <c r="BP421" s="123"/>
      <c r="BQ421" s="108"/>
      <c r="BR421" s="108"/>
      <c r="BS421" s="124"/>
      <c r="BT421" s="108"/>
      <c r="BU421" s="260"/>
      <c r="BV421" s="102"/>
      <c r="BW421" s="120"/>
      <c r="BX421" s="120"/>
      <c r="BY421" s="254"/>
      <c r="BZ421" s="254"/>
      <c r="CA421" s="253"/>
      <c r="CB421" s="256"/>
      <c r="CC421" s="256"/>
      <c r="CD421" s="257"/>
      <c r="CE421" s="255"/>
      <c r="CF421" s="255"/>
      <c r="CG421" s="126"/>
      <c r="CH421" s="209"/>
      <c r="CI421" s="256"/>
      <c r="CJ421" s="208"/>
      <c r="CK421" s="208"/>
      <c r="CL421" s="254"/>
      <c r="CM421" s="209"/>
      <c r="CN421" s="254"/>
      <c r="CO421" s="28"/>
      <c r="CP421" s="28"/>
      <c r="CQ421" s="28"/>
      <c r="CR421" s="28"/>
      <c r="CS421" s="28"/>
      <c r="CT421" s="28"/>
      <c r="CU421" s="28"/>
      <c r="CV421" s="28"/>
    </row>
    <row r="422" spans="1:100" ht="12" customHeight="1" x14ac:dyDescent="0.2">
      <c r="A422" s="36" t="s">
        <v>25</v>
      </c>
      <c r="B422" s="1">
        <f>'Data Input'!B15</f>
        <v>1.1100000000000001</v>
      </c>
      <c r="C422" s="1" t="s">
        <v>26</v>
      </c>
      <c r="D422" s="1" t="s">
        <v>331</v>
      </c>
      <c r="E422" s="19"/>
      <c r="F422" s="1"/>
      <c r="G422" s="1"/>
      <c r="H422" s="1"/>
      <c r="I422" s="1"/>
      <c r="J422" s="1"/>
      <c r="K422" s="1"/>
      <c r="L422" s="1"/>
      <c r="M422" s="1"/>
      <c r="N422" s="1"/>
      <c r="O422" s="102"/>
      <c r="P422" s="120"/>
      <c r="Q422" s="102"/>
      <c r="R422" s="175"/>
      <c r="S422" s="122"/>
      <c r="T422" s="102"/>
      <c r="U422" s="28"/>
      <c r="V422" s="28"/>
      <c r="W422" s="119"/>
      <c r="X422" s="108"/>
      <c r="Y422" s="108"/>
      <c r="Z422" s="28"/>
      <c r="AA422" s="28"/>
      <c r="AB422" s="260"/>
      <c r="AC422" s="102"/>
      <c r="AD422" s="120"/>
      <c r="AE422" s="120"/>
      <c r="AF422" s="175"/>
      <c r="AG422" s="175"/>
      <c r="AH422" s="214"/>
      <c r="AI422" s="261"/>
      <c r="AJ422" s="291"/>
      <c r="AK422" s="256"/>
      <c r="AL422" s="28"/>
      <c r="AM422" s="108"/>
      <c r="AN422" s="260"/>
      <c r="AO422" s="102"/>
      <c r="AP422" s="120"/>
      <c r="AQ422" s="120"/>
      <c r="AR422" s="119"/>
      <c r="AS422" s="123"/>
      <c r="AT422" s="123"/>
      <c r="AU422" s="124"/>
      <c r="AV422" s="124"/>
      <c r="AW422" s="108"/>
      <c r="AX422" s="102"/>
      <c r="AY422" s="102"/>
      <c r="AZ422" s="119"/>
      <c r="BA422" s="123"/>
      <c r="BB422" s="123"/>
      <c r="BC422" s="108"/>
      <c r="BD422" s="108"/>
      <c r="BE422" s="260"/>
      <c r="BF422" s="102"/>
      <c r="BG422" s="120"/>
      <c r="BH422" s="102"/>
      <c r="BI422" s="261"/>
      <c r="BJ422" s="119"/>
      <c r="BK422" s="261"/>
      <c r="BL422" s="102"/>
      <c r="BM422" s="119"/>
      <c r="BN422" s="123"/>
      <c r="BO422" s="123"/>
      <c r="BP422" s="123"/>
      <c r="BQ422" s="108"/>
      <c r="BR422" s="108"/>
      <c r="BS422" s="124"/>
      <c r="BT422" s="108"/>
      <c r="BU422" s="260"/>
      <c r="BV422" s="102"/>
      <c r="BW422" s="120"/>
      <c r="BX422" s="120"/>
      <c r="BY422" s="254"/>
      <c r="BZ422" s="254"/>
      <c r="CA422" s="253"/>
      <c r="CB422" s="256"/>
      <c r="CC422" s="256"/>
      <c r="CD422" s="257"/>
      <c r="CE422" s="255"/>
      <c r="CF422" s="255"/>
      <c r="CG422" s="126"/>
      <c r="CH422" s="209"/>
      <c r="CI422" s="256"/>
      <c r="CJ422" s="208"/>
      <c r="CK422" s="208"/>
      <c r="CL422" s="254"/>
      <c r="CM422" s="209"/>
      <c r="CN422" s="254"/>
      <c r="CO422" s="28"/>
      <c r="CP422" s="28"/>
      <c r="CQ422" s="28"/>
      <c r="CR422" s="28"/>
      <c r="CS422" s="28"/>
      <c r="CT422" s="28"/>
      <c r="CU422" s="28"/>
      <c r="CV422" s="28"/>
    </row>
    <row r="423" spans="1:100" ht="12" customHeight="1" x14ac:dyDescent="0.2">
      <c r="A423" s="14" t="s">
        <v>28</v>
      </c>
      <c r="B423" s="1">
        <f>'Data Input'!B16</f>
        <v>0.9</v>
      </c>
      <c r="C423" s="14" t="s">
        <v>29</v>
      </c>
      <c r="D423" s="175"/>
      <c r="E423" s="19"/>
      <c r="F423" s="1"/>
      <c r="G423" s="1"/>
      <c r="H423" s="1"/>
      <c r="I423" s="1"/>
      <c r="J423" s="1"/>
      <c r="K423" s="1"/>
      <c r="L423" s="1"/>
      <c r="M423" s="1"/>
      <c r="N423" s="1"/>
      <c r="O423" s="102"/>
      <c r="P423" s="120"/>
      <c r="Q423" s="102"/>
      <c r="R423" s="175"/>
      <c r="S423" s="122"/>
      <c r="T423" s="102"/>
      <c r="U423" s="28"/>
      <c r="V423" s="28"/>
      <c r="W423" s="119"/>
      <c r="X423" s="108"/>
      <c r="Y423" s="108"/>
      <c r="Z423" s="28"/>
      <c r="AA423" s="28"/>
      <c r="AB423" s="260"/>
      <c r="AC423" s="102"/>
      <c r="AD423" s="120"/>
      <c r="AE423" s="120"/>
      <c r="AF423" s="175"/>
      <c r="AG423" s="175"/>
      <c r="AH423" s="214"/>
      <c r="AI423" s="261"/>
      <c r="AJ423" s="291"/>
      <c r="AK423" s="256"/>
      <c r="AL423" s="28"/>
      <c r="AM423" s="108"/>
      <c r="AN423" s="260"/>
      <c r="AO423" s="102"/>
      <c r="AP423" s="120"/>
      <c r="AQ423" s="120"/>
      <c r="AR423" s="119"/>
      <c r="AS423" s="123"/>
      <c r="AT423" s="123"/>
      <c r="AU423" s="124"/>
      <c r="AV423" s="124"/>
      <c r="AW423" s="108"/>
      <c r="AX423" s="102"/>
      <c r="AY423" s="102"/>
      <c r="AZ423" s="119"/>
      <c r="BA423" s="123"/>
      <c r="BB423" s="123"/>
      <c r="BC423" s="108"/>
      <c r="BD423" s="108"/>
      <c r="BE423" s="260"/>
      <c r="BF423" s="102"/>
      <c r="BG423" s="120"/>
      <c r="BH423" s="102"/>
      <c r="BI423" s="261"/>
      <c r="BJ423" s="119"/>
      <c r="BK423" s="261"/>
      <c r="BL423" s="102"/>
      <c r="BM423" s="119"/>
      <c r="BN423" s="123"/>
      <c r="BO423" s="123"/>
      <c r="BP423" s="123"/>
      <c r="BQ423" s="108"/>
      <c r="BR423" s="108"/>
      <c r="BS423" s="124"/>
      <c r="BT423" s="108"/>
      <c r="BU423" s="260"/>
      <c r="BV423" s="102"/>
      <c r="BW423" s="120"/>
      <c r="BX423" s="120"/>
      <c r="BY423" s="254"/>
      <c r="BZ423" s="254"/>
      <c r="CA423" s="253"/>
      <c r="CB423" s="256"/>
      <c r="CC423" s="256"/>
      <c r="CD423" s="257"/>
      <c r="CE423" s="255"/>
      <c r="CF423" s="255"/>
      <c r="CG423" s="126"/>
      <c r="CH423" s="209"/>
      <c r="CI423" s="256"/>
      <c r="CJ423" s="208"/>
      <c r="CK423" s="208"/>
      <c r="CL423" s="254"/>
      <c r="CM423" s="209"/>
      <c r="CN423" s="254"/>
      <c r="CO423" s="28"/>
      <c r="CP423" s="28"/>
      <c r="CQ423" s="28"/>
      <c r="CR423" s="28"/>
      <c r="CS423" s="28"/>
      <c r="CT423" s="28"/>
      <c r="CU423" s="28"/>
      <c r="CV423" s="28"/>
    </row>
    <row r="424" spans="1:100" ht="12" customHeight="1" x14ac:dyDescent="0.2">
      <c r="B424" s="1"/>
      <c r="F424" s="1"/>
      <c r="G424" s="1"/>
      <c r="H424" s="1"/>
      <c r="I424" s="1"/>
      <c r="J424" s="1"/>
      <c r="K424" s="1"/>
      <c r="L424" s="1"/>
      <c r="M424" s="1"/>
      <c r="N424" s="1"/>
      <c r="O424" s="102"/>
      <c r="P424" s="120"/>
      <c r="Q424" s="102"/>
      <c r="R424" s="175"/>
      <c r="S424" s="122"/>
      <c r="T424" s="102"/>
      <c r="U424" s="28"/>
      <c r="V424" s="28"/>
      <c r="W424" s="119"/>
      <c r="X424" s="108"/>
      <c r="Y424" s="108"/>
      <c r="Z424" s="28"/>
      <c r="AA424" s="28"/>
      <c r="AB424" s="260"/>
      <c r="AC424" s="102"/>
      <c r="AD424" s="120"/>
      <c r="AE424" s="120"/>
      <c r="AF424" s="175"/>
      <c r="AG424" s="175"/>
      <c r="AH424" s="214"/>
      <c r="AI424" s="261"/>
      <c r="AJ424" s="291"/>
      <c r="AK424" s="256"/>
      <c r="AL424" s="28"/>
      <c r="AM424" s="108"/>
      <c r="AN424" s="260"/>
      <c r="AO424" s="102"/>
      <c r="AP424" s="120"/>
      <c r="AQ424" s="120"/>
      <c r="AR424" s="119"/>
      <c r="AS424" s="123"/>
      <c r="AT424" s="123"/>
      <c r="AU424" s="124"/>
      <c r="AV424" s="124"/>
      <c r="AW424" s="108"/>
      <c r="AX424" s="102"/>
      <c r="AY424" s="102"/>
      <c r="AZ424" s="119"/>
      <c r="BA424" s="123"/>
      <c r="BB424" s="123"/>
      <c r="BC424" s="108"/>
      <c r="BD424" s="108"/>
      <c r="BE424" s="260"/>
      <c r="BF424" s="102"/>
      <c r="BG424" s="120"/>
      <c r="BH424" s="102"/>
      <c r="BI424" s="261"/>
      <c r="BJ424" s="119"/>
      <c r="BK424" s="261"/>
      <c r="BL424" s="102"/>
      <c r="BM424" s="119"/>
      <c r="BN424" s="123"/>
      <c r="BO424" s="123"/>
      <c r="BP424" s="123"/>
      <c r="BQ424" s="108"/>
      <c r="BR424" s="108"/>
      <c r="BS424" s="124"/>
      <c r="BT424" s="108"/>
      <c r="BU424" s="260"/>
      <c r="BV424" s="102"/>
      <c r="BW424" s="120"/>
      <c r="BX424" s="120"/>
      <c r="BY424" s="254"/>
      <c r="BZ424" s="254"/>
      <c r="CA424" s="253"/>
      <c r="CB424" s="256"/>
      <c r="CC424" s="256"/>
      <c r="CD424" s="257"/>
      <c r="CE424" s="255"/>
      <c r="CF424" s="255"/>
      <c r="CG424" s="126"/>
      <c r="CH424" s="209"/>
      <c r="CI424" s="256"/>
      <c r="CJ424" s="208"/>
      <c r="CK424" s="208"/>
      <c r="CL424" s="254"/>
      <c r="CM424" s="209"/>
      <c r="CN424" s="254"/>
      <c r="CO424" s="28"/>
      <c r="CP424" s="28"/>
      <c r="CQ424" s="28"/>
      <c r="CR424" s="28"/>
      <c r="CS424" s="28"/>
      <c r="CT424" s="28"/>
      <c r="CU424" s="28"/>
      <c r="CV424" s="28"/>
    </row>
    <row r="425" spans="1:100" ht="12" customHeight="1" x14ac:dyDescent="0.2">
      <c r="A425" s="36" t="s">
        <v>31</v>
      </c>
      <c r="B425" s="27">
        <f>'Data Input'!B17</f>
        <v>1.6</v>
      </c>
      <c r="F425" s="1"/>
      <c r="G425" s="1"/>
      <c r="H425" s="1"/>
      <c r="I425" s="1"/>
      <c r="J425" s="1"/>
      <c r="K425" s="1"/>
      <c r="L425" s="1"/>
      <c r="M425" s="1"/>
      <c r="N425" s="1"/>
      <c r="O425" s="102"/>
      <c r="P425" s="120"/>
      <c r="Q425" s="102"/>
      <c r="R425" s="175"/>
      <c r="S425" s="122"/>
      <c r="T425" s="102"/>
      <c r="U425" s="28"/>
      <c r="V425" s="28"/>
      <c r="W425" s="119"/>
      <c r="X425" s="108"/>
      <c r="Y425" s="108"/>
      <c r="Z425" s="28"/>
      <c r="AA425" s="28"/>
      <c r="AB425" s="260"/>
      <c r="AC425" s="102"/>
      <c r="AD425" s="120"/>
      <c r="AE425" s="120"/>
      <c r="AF425" s="175"/>
      <c r="AG425" s="175"/>
      <c r="AH425" s="214"/>
      <c r="AI425" s="261"/>
      <c r="AJ425" s="291"/>
      <c r="AK425" s="256"/>
      <c r="AL425" s="28"/>
      <c r="AM425" s="108"/>
      <c r="AN425" s="260"/>
      <c r="AO425" s="102"/>
      <c r="AP425" s="120"/>
      <c r="AQ425" s="120"/>
      <c r="AR425" s="119"/>
      <c r="AS425" s="123"/>
      <c r="AT425" s="123"/>
      <c r="AU425" s="124"/>
      <c r="AV425" s="124"/>
      <c r="AW425" s="108"/>
      <c r="AX425" s="102"/>
      <c r="AY425" s="102"/>
      <c r="AZ425" s="119"/>
      <c r="BA425" s="123"/>
      <c r="BB425" s="123"/>
      <c r="BC425" s="108"/>
      <c r="BD425" s="108"/>
      <c r="BE425" s="260"/>
      <c r="BF425" s="102"/>
      <c r="BG425" s="120"/>
      <c r="BH425" s="102"/>
      <c r="BI425" s="261"/>
      <c r="BJ425" s="119"/>
      <c r="BK425" s="261"/>
      <c r="BL425" s="102"/>
      <c r="BM425" s="119"/>
      <c r="BN425" s="123"/>
      <c r="BO425" s="123"/>
      <c r="BP425" s="123"/>
      <c r="BQ425" s="108"/>
      <c r="BR425" s="108"/>
      <c r="BS425" s="124"/>
      <c r="BT425" s="108"/>
      <c r="BU425" s="260"/>
      <c r="BV425" s="102"/>
      <c r="BW425" s="120"/>
      <c r="BX425" s="120"/>
      <c r="BY425" s="254"/>
      <c r="BZ425" s="254"/>
      <c r="CA425" s="253"/>
      <c r="CB425" s="256"/>
      <c r="CC425" s="256"/>
      <c r="CD425" s="257"/>
      <c r="CE425" s="255"/>
      <c r="CF425" s="255"/>
      <c r="CG425" s="126"/>
      <c r="CH425" s="209"/>
      <c r="CI425" s="256"/>
      <c r="CJ425" s="208"/>
      <c r="CK425" s="208"/>
      <c r="CL425" s="254"/>
      <c r="CM425" s="209"/>
      <c r="CN425" s="254"/>
      <c r="CO425" s="28"/>
      <c r="CP425" s="28"/>
      <c r="CQ425" s="28"/>
      <c r="CR425" s="28"/>
      <c r="CS425" s="28"/>
      <c r="CT425" s="28"/>
      <c r="CU425" s="28"/>
      <c r="CV425" s="28"/>
    </row>
    <row r="426" spans="1:100" ht="12" customHeight="1" x14ac:dyDescent="0.2">
      <c r="A426" s="36" t="s">
        <v>338</v>
      </c>
      <c r="B426" s="99">
        <f>'Data Input'!B41</f>
        <v>17.627599999999997</v>
      </c>
      <c r="C426" s="1" t="s">
        <v>56</v>
      </c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2"/>
      <c r="P426" s="120"/>
      <c r="Q426" s="102"/>
      <c r="R426" s="175"/>
      <c r="S426" s="122"/>
      <c r="T426" s="102"/>
      <c r="U426" s="28"/>
      <c r="V426" s="28"/>
      <c r="W426" s="119"/>
      <c r="X426" s="108"/>
      <c r="Y426" s="108"/>
      <c r="Z426" s="28"/>
      <c r="AA426" s="28"/>
      <c r="AB426" s="260"/>
      <c r="AC426" s="102"/>
      <c r="AD426" s="120"/>
      <c r="AE426" s="120"/>
      <c r="AF426" s="175"/>
      <c r="AG426" s="175"/>
      <c r="AH426" s="214"/>
      <c r="AI426" s="261"/>
      <c r="AJ426" s="291"/>
      <c r="AK426" s="256"/>
      <c r="AL426" s="28"/>
      <c r="AM426" s="108"/>
      <c r="AN426" s="260"/>
      <c r="AO426" s="102"/>
      <c r="AP426" s="120"/>
      <c r="AQ426" s="120"/>
      <c r="AR426" s="119"/>
      <c r="AS426" s="123"/>
      <c r="AT426" s="123"/>
      <c r="AU426" s="124"/>
      <c r="AV426" s="124"/>
      <c r="AW426" s="108"/>
      <c r="AX426" s="102"/>
      <c r="AY426" s="102"/>
      <c r="AZ426" s="119"/>
      <c r="BA426" s="123"/>
      <c r="BB426" s="123"/>
      <c r="BC426" s="108"/>
      <c r="BD426" s="108"/>
      <c r="BE426" s="260"/>
      <c r="BF426" s="102"/>
      <c r="BG426" s="120"/>
      <c r="BH426" s="102"/>
      <c r="BI426" s="261"/>
      <c r="BJ426" s="119"/>
      <c r="BK426" s="261"/>
      <c r="BL426" s="102"/>
      <c r="BM426" s="119"/>
      <c r="BN426" s="123"/>
      <c r="BO426" s="123"/>
      <c r="BP426" s="123"/>
      <c r="BQ426" s="108"/>
      <c r="BR426" s="108"/>
      <c r="BS426" s="124"/>
      <c r="BT426" s="108"/>
      <c r="BU426" s="260"/>
      <c r="BV426" s="102"/>
      <c r="BW426" s="120"/>
      <c r="BX426" s="120"/>
      <c r="BY426" s="254"/>
      <c r="BZ426" s="254"/>
      <c r="CA426" s="253"/>
      <c r="CB426" s="256"/>
      <c r="CC426" s="256"/>
      <c r="CD426" s="257"/>
      <c r="CE426" s="255"/>
      <c r="CF426" s="255"/>
      <c r="CG426" s="126"/>
      <c r="CH426" s="209"/>
      <c r="CI426" s="256"/>
      <c r="CJ426" s="208"/>
      <c r="CK426" s="208"/>
      <c r="CL426" s="254"/>
      <c r="CM426" s="209"/>
      <c r="CN426" s="254"/>
      <c r="CO426" s="28"/>
      <c r="CP426" s="28"/>
      <c r="CQ426" s="28"/>
      <c r="CR426" s="28"/>
      <c r="CS426" s="28"/>
      <c r="CT426" s="28"/>
      <c r="CU426" s="28"/>
      <c r="CV426" s="28"/>
    </row>
    <row r="427" spans="1:100" ht="12" customHeight="1" x14ac:dyDescent="0.2">
      <c r="A427" s="36" t="s">
        <v>341</v>
      </c>
      <c r="B427" s="1">
        <f>'Data Input'!B44</f>
        <v>6.35</v>
      </c>
      <c r="C427" s="1" t="s">
        <v>56</v>
      </c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2"/>
      <c r="P427" s="120"/>
      <c r="Q427" s="102"/>
      <c r="R427" s="175"/>
      <c r="S427" s="122"/>
      <c r="T427" s="102"/>
      <c r="U427" s="28"/>
      <c r="V427" s="28"/>
      <c r="W427" s="119"/>
      <c r="X427" s="108"/>
      <c r="Y427" s="108"/>
      <c r="Z427" s="28"/>
      <c r="AA427" s="28"/>
      <c r="AB427" s="260"/>
      <c r="AC427" s="102"/>
      <c r="AD427" s="120"/>
      <c r="AE427" s="120"/>
      <c r="AF427" s="175"/>
      <c r="AG427" s="175"/>
      <c r="AH427" s="214"/>
      <c r="AI427" s="261"/>
      <c r="AJ427" s="291"/>
      <c r="AK427" s="256"/>
      <c r="AL427" s="28"/>
      <c r="AM427" s="108"/>
      <c r="AN427" s="260"/>
      <c r="AO427" s="102"/>
      <c r="AP427" s="120"/>
      <c r="AQ427" s="120"/>
      <c r="AR427" s="119"/>
      <c r="AS427" s="123"/>
      <c r="AT427" s="123"/>
      <c r="AU427" s="124"/>
      <c r="AV427" s="124"/>
      <c r="AW427" s="108"/>
      <c r="AX427" s="102"/>
      <c r="AY427" s="102"/>
      <c r="AZ427" s="119"/>
      <c r="BA427" s="123"/>
      <c r="BB427" s="123"/>
      <c r="BC427" s="108"/>
      <c r="BD427" s="108"/>
      <c r="BE427" s="260"/>
      <c r="BF427" s="102"/>
      <c r="BG427" s="120"/>
      <c r="BH427" s="102"/>
      <c r="BI427" s="261"/>
      <c r="BJ427" s="119"/>
      <c r="BK427" s="261"/>
      <c r="BL427" s="102"/>
      <c r="BM427" s="119"/>
      <c r="BN427" s="123"/>
      <c r="BO427" s="123"/>
      <c r="BP427" s="123"/>
      <c r="BQ427" s="108"/>
      <c r="BR427" s="108"/>
      <c r="BS427" s="124"/>
      <c r="BT427" s="108"/>
      <c r="BU427" s="260"/>
      <c r="BV427" s="102"/>
      <c r="BW427" s="120"/>
      <c r="BX427" s="120"/>
      <c r="BY427" s="254"/>
      <c r="BZ427" s="254"/>
      <c r="CA427" s="253"/>
      <c r="CB427" s="256"/>
      <c r="CC427" s="256"/>
      <c r="CD427" s="257"/>
      <c r="CE427" s="255"/>
      <c r="CF427" s="255"/>
      <c r="CG427" s="126"/>
      <c r="CH427" s="209"/>
      <c r="CI427" s="256"/>
      <c r="CJ427" s="208"/>
      <c r="CK427" s="208"/>
      <c r="CL427" s="254"/>
      <c r="CM427" s="209"/>
      <c r="CN427" s="254"/>
      <c r="CO427" s="28"/>
      <c r="CP427" s="28"/>
      <c r="CQ427" s="28"/>
      <c r="CR427" s="28"/>
      <c r="CS427" s="28"/>
      <c r="CT427" s="28"/>
      <c r="CU427" s="28"/>
      <c r="CV427" s="28"/>
    </row>
    <row r="428" spans="1:100" ht="12" customHeight="1" x14ac:dyDescent="0.2">
      <c r="A428" s="36" t="s">
        <v>384</v>
      </c>
      <c r="B428" s="1">
        <f>'Data Input'!B46</f>
        <v>1</v>
      </c>
      <c r="C428" s="1" t="s">
        <v>385</v>
      </c>
      <c r="D428" s="37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2"/>
      <c r="P428" s="120"/>
      <c r="Q428" s="102"/>
      <c r="R428" s="175"/>
      <c r="S428" s="122"/>
      <c r="T428" s="102"/>
      <c r="U428" s="28"/>
      <c r="V428" s="28"/>
      <c r="W428" s="119"/>
      <c r="X428" s="108"/>
      <c r="Y428" s="108"/>
      <c r="Z428" s="28"/>
      <c r="AA428" s="28"/>
      <c r="AB428" s="260"/>
      <c r="AC428" s="102"/>
      <c r="AD428" s="120"/>
      <c r="AE428" s="120"/>
      <c r="AF428" s="175"/>
      <c r="AG428" s="175"/>
      <c r="AH428" s="214"/>
      <c r="AI428" s="261"/>
      <c r="AJ428" s="291"/>
      <c r="AK428" s="256"/>
      <c r="AL428" s="28"/>
      <c r="AM428" s="108"/>
      <c r="AN428" s="260"/>
      <c r="AO428" s="102"/>
      <c r="AP428" s="120"/>
      <c r="AQ428" s="120"/>
      <c r="AR428" s="119"/>
      <c r="AS428" s="123"/>
      <c r="AT428" s="123"/>
      <c r="AU428" s="124"/>
      <c r="AV428" s="124"/>
      <c r="AW428" s="108"/>
      <c r="AX428" s="102"/>
      <c r="AY428" s="102"/>
      <c r="AZ428" s="119"/>
      <c r="BA428" s="123"/>
      <c r="BB428" s="123"/>
      <c r="BC428" s="108"/>
      <c r="BD428" s="108"/>
      <c r="BE428" s="260"/>
      <c r="BF428" s="102"/>
      <c r="BG428" s="120"/>
      <c r="BH428" s="102"/>
      <c r="BI428" s="261"/>
      <c r="BJ428" s="119"/>
      <c r="BK428" s="261"/>
      <c r="BL428" s="102"/>
      <c r="BM428" s="119"/>
      <c r="BN428" s="123"/>
      <c r="BO428" s="123"/>
      <c r="BP428" s="123"/>
      <c r="BQ428" s="108"/>
      <c r="BR428" s="108"/>
      <c r="BS428" s="124"/>
      <c r="BT428" s="108"/>
      <c r="BU428" s="260"/>
      <c r="BV428" s="102"/>
      <c r="BW428" s="120"/>
      <c r="BX428" s="120"/>
      <c r="BY428" s="254"/>
      <c r="BZ428" s="254"/>
      <c r="CA428" s="253"/>
      <c r="CB428" s="256"/>
      <c r="CC428" s="256"/>
      <c r="CD428" s="257"/>
      <c r="CE428" s="255"/>
      <c r="CF428" s="255"/>
      <c r="CG428" s="126"/>
      <c r="CH428" s="209"/>
      <c r="CI428" s="256"/>
      <c r="CJ428" s="208"/>
      <c r="CK428" s="208"/>
      <c r="CL428" s="254"/>
      <c r="CM428" s="209"/>
      <c r="CN428" s="254"/>
      <c r="CO428" s="28"/>
      <c r="CP428" s="28"/>
      <c r="CQ428" s="28"/>
      <c r="CR428" s="28"/>
      <c r="CS428" s="28"/>
      <c r="CT428" s="28"/>
      <c r="CU428" s="28"/>
      <c r="CV428" s="28"/>
    </row>
    <row r="429" spans="1:100" ht="12" customHeight="1" x14ac:dyDescent="0.2">
      <c r="A429" s="1"/>
      <c r="B429" s="1" t="s">
        <v>386</v>
      </c>
      <c r="C429" s="1"/>
      <c r="D429" s="37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2"/>
      <c r="P429" s="120"/>
      <c r="Q429" s="102"/>
      <c r="R429" s="175"/>
      <c r="S429" s="122"/>
      <c r="T429" s="102"/>
      <c r="U429" s="28"/>
      <c r="V429" s="28"/>
      <c r="W429" s="119"/>
      <c r="X429" s="108"/>
      <c r="Y429" s="108"/>
      <c r="Z429" s="28"/>
      <c r="AA429" s="28"/>
      <c r="AB429" s="260"/>
      <c r="AC429" s="102"/>
      <c r="AD429" s="120"/>
      <c r="AE429" s="120"/>
      <c r="AF429" s="175"/>
      <c r="AG429" s="175"/>
      <c r="AH429" s="214"/>
      <c r="AI429" s="261"/>
      <c r="AJ429" s="291"/>
      <c r="AK429" s="256"/>
      <c r="AL429" s="28"/>
      <c r="AM429" s="108"/>
      <c r="AN429" s="260"/>
      <c r="AO429" s="102"/>
      <c r="AP429" s="120"/>
      <c r="AQ429" s="120"/>
      <c r="AR429" s="119"/>
      <c r="AS429" s="123"/>
      <c r="AT429" s="123"/>
      <c r="AU429" s="124"/>
      <c r="AV429" s="124"/>
      <c r="AW429" s="108"/>
      <c r="AX429" s="102"/>
      <c r="AY429" s="102"/>
      <c r="AZ429" s="119"/>
      <c r="BA429" s="123"/>
      <c r="BB429" s="123"/>
      <c r="BC429" s="108"/>
      <c r="BD429" s="108"/>
      <c r="BE429" s="260"/>
      <c r="BF429" s="102"/>
      <c r="BG429" s="120"/>
      <c r="BH429" s="102"/>
      <c r="BI429" s="261"/>
      <c r="BJ429" s="119"/>
      <c r="BK429" s="261"/>
      <c r="BL429" s="102"/>
      <c r="BM429" s="119"/>
      <c r="BN429" s="123"/>
      <c r="BO429" s="123"/>
      <c r="BP429" s="123"/>
      <c r="BQ429" s="108"/>
      <c r="BR429" s="108"/>
      <c r="BS429" s="124"/>
      <c r="BT429" s="108"/>
      <c r="BU429" s="260"/>
      <c r="BV429" s="102"/>
      <c r="BW429" s="120"/>
      <c r="BX429" s="120"/>
      <c r="BY429" s="254"/>
      <c r="BZ429" s="254"/>
      <c r="CA429" s="253"/>
      <c r="CB429" s="256"/>
      <c r="CC429" s="256"/>
      <c r="CD429" s="257"/>
      <c r="CE429" s="255"/>
      <c r="CF429" s="255"/>
      <c r="CG429" s="126"/>
      <c r="CH429" s="209"/>
      <c r="CI429" s="256"/>
      <c r="CJ429" s="208"/>
      <c r="CK429" s="208"/>
      <c r="CL429" s="254"/>
      <c r="CM429" s="209"/>
      <c r="CN429" s="254"/>
      <c r="CO429" s="28"/>
      <c r="CP429" s="28"/>
      <c r="CQ429" s="28"/>
      <c r="CR429" s="28"/>
      <c r="CS429" s="28"/>
      <c r="CT429" s="28"/>
      <c r="CU429" s="28"/>
      <c r="CV429" s="28"/>
    </row>
    <row r="430" spans="1:100" ht="12" customHeight="1" x14ac:dyDescent="0.2">
      <c r="A430" s="14" t="s">
        <v>387</v>
      </c>
      <c r="B430" s="156">
        <f>J65</f>
        <v>1446.9690340184807</v>
      </c>
      <c r="C430" s="1" t="s">
        <v>168</v>
      </c>
      <c r="D430" s="37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2"/>
      <c r="P430" s="120"/>
      <c r="Q430" s="102"/>
      <c r="R430" s="175"/>
      <c r="S430" s="122"/>
      <c r="T430" s="102"/>
      <c r="U430" s="28"/>
      <c r="V430" s="28"/>
      <c r="W430" s="119"/>
      <c r="X430" s="108"/>
      <c r="Y430" s="108"/>
      <c r="Z430" s="28"/>
      <c r="AA430" s="28"/>
      <c r="AB430" s="260"/>
      <c r="AC430" s="102"/>
      <c r="AD430" s="120"/>
      <c r="AE430" s="120"/>
      <c r="AF430" s="175"/>
      <c r="AG430" s="175"/>
      <c r="AH430" s="214"/>
      <c r="AI430" s="261"/>
      <c r="AJ430" s="291"/>
      <c r="AK430" s="256"/>
      <c r="AL430" s="28"/>
      <c r="AM430" s="108"/>
      <c r="AN430" s="260"/>
      <c r="AO430" s="102"/>
      <c r="AP430" s="120"/>
      <c r="AQ430" s="120"/>
      <c r="AR430" s="119"/>
      <c r="AS430" s="123"/>
      <c r="AT430" s="123"/>
      <c r="AU430" s="124"/>
      <c r="AV430" s="124"/>
      <c r="AW430" s="108"/>
      <c r="AX430" s="102"/>
      <c r="AY430" s="102"/>
      <c r="AZ430" s="119"/>
      <c r="BA430" s="123"/>
      <c r="BB430" s="123"/>
      <c r="BC430" s="108"/>
      <c r="BD430" s="108"/>
      <c r="BE430" s="260"/>
      <c r="BF430" s="102"/>
      <c r="BG430" s="120"/>
      <c r="BH430" s="102"/>
      <c r="BI430" s="261"/>
      <c r="BJ430" s="119"/>
      <c r="BK430" s="261"/>
      <c r="BL430" s="102"/>
      <c r="BM430" s="119"/>
      <c r="BN430" s="123"/>
      <c r="BO430" s="123"/>
      <c r="BP430" s="123"/>
      <c r="BQ430" s="108"/>
      <c r="BR430" s="108"/>
      <c r="BS430" s="124"/>
      <c r="BT430" s="108"/>
      <c r="BU430" s="260"/>
      <c r="BV430" s="102"/>
      <c r="BW430" s="120"/>
      <c r="BX430" s="120"/>
      <c r="BY430" s="254"/>
      <c r="BZ430" s="254"/>
      <c r="CA430" s="253"/>
      <c r="CB430" s="256"/>
      <c r="CC430" s="256"/>
      <c r="CD430" s="257"/>
      <c r="CE430" s="255"/>
      <c r="CF430" s="255"/>
      <c r="CG430" s="126"/>
      <c r="CH430" s="209"/>
      <c r="CI430" s="256"/>
      <c r="CJ430" s="208"/>
      <c r="CK430" s="208"/>
      <c r="CL430" s="254"/>
      <c r="CM430" s="209"/>
      <c r="CN430" s="254"/>
      <c r="CO430" s="28"/>
      <c r="CP430" s="28"/>
      <c r="CQ430" s="28"/>
      <c r="CR430" s="28"/>
      <c r="CS430" s="28"/>
      <c r="CT430" s="28"/>
      <c r="CU430" s="28"/>
      <c r="CV430" s="28"/>
    </row>
    <row r="431" spans="1:100" ht="12" customHeight="1" x14ac:dyDescent="0.2">
      <c r="A431" s="28" t="s">
        <v>305</v>
      </c>
      <c r="B431" s="12">
        <f>C124</f>
        <v>1328.8064683811604</v>
      </c>
      <c r="C431" s="1" t="s">
        <v>168</v>
      </c>
      <c r="D431" s="1" t="s">
        <v>388</v>
      </c>
      <c r="K431" s="1"/>
      <c r="L431" s="1"/>
      <c r="M431" s="1"/>
      <c r="N431" s="1"/>
      <c r="O431" s="102"/>
      <c r="P431" s="120"/>
      <c r="Q431" s="102"/>
      <c r="R431" s="175"/>
      <c r="S431" s="122"/>
      <c r="T431" s="102"/>
      <c r="U431" s="28"/>
      <c r="V431" s="28"/>
      <c r="W431" s="119"/>
      <c r="X431" s="108"/>
      <c r="Y431" s="108"/>
      <c r="Z431" s="28"/>
      <c r="AA431" s="28"/>
      <c r="AB431" s="260"/>
      <c r="AC431" s="102"/>
      <c r="AD431" s="120"/>
      <c r="AE431" s="120"/>
      <c r="AF431" s="175"/>
      <c r="AG431" s="175"/>
      <c r="AH431" s="214"/>
      <c r="AI431" s="261"/>
      <c r="AJ431" s="291"/>
      <c r="AK431" s="256"/>
      <c r="AL431" s="28"/>
      <c r="AM431" s="108"/>
      <c r="AN431" s="260"/>
      <c r="AO431" s="102"/>
      <c r="AP431" s="120"/>
      <c r="AQ431" s="120"/>
      <c r="AR431" s="119"/>
      <c r="AS431" s="123"/>
      <c r="AT431" s="123"/>
      <c r="AU431" s="124"/>
      <c r="AV431" s="124"/>
      <c r="AW431" s="108"/>
      <c r="AX431" s="102"/>
      <c r="AY431" s="102"/>
      <c r="AZ431" s="119"/>
      <c r="BA431" s="123"/>
      <c r="BB431" s="123"/>
      <c r="BC431" s="108"/>
      <c r="BD431" s="108"/>
      <c r="BE431" s="260"/>
      <c r="BF431" s="102"/>
      <c r="BG431" s="120"/>
      <c r="BH431" s="102"/>
      <c r="BI431" s="261"/>
      <c r="BJ431" s="119"/>
      <c r="BK431" s="261"/>
      <c r="BL431" s="102"/>
      <c r="BM431" s="119"/>
      <c r="BN431" s="123"/>
      <c r="BO431" s="123"/>
      <c r="BP431" s="123"/>
      <c r="BQ431" s="108"/>
      <c r="BR431" s="108"/>
      <c r="BS431" s="124"/>
      <c r="BT431" s="108"/>
      <c r="BU431" s="260"/>
      <c r="BV431" s="102"/>
      <c r="BW431" s="120"/>
      <c r="BX431" s="120"/>
      <c r="BY431" s="254"/>
      <c r="BZ431" s="254"/>
      <c r="CA431" s="253"/>
      <c r="CB431" s="256"/>
      <c r="CC431" s="256"/>
      <c r="CD431" s="257"/>
      <c r="CE431" s="255"/>
      <c r="CF431" s="255"/>
      <c r="CG431" s="126"/>
      <c r="CH431" s="209"/>
      <c r="CI431" s="256"/>
      <c r="CJ431" s="208"/>
      <c r="CK431" s="208"/>
      <c r="CL431" s="254"/>
      <c r="CM431" s="209"/>
      <c r="CN431" s="254"/>
      <c r="CO431" s="28"/>
      <c r="CP431" s="28"/>
      <c r="CQ431" s="28"/>
      <c r="CR431" s="28"/>
      <c r="CS431" s="28"/>
      <c r="CT431" s="28"/>
      <c r="CU431" s="28"/>
      <c r="CV431" s="28"/>
    </row>
    <row r="432" spans="1:100" ht="12" customHeight="1" x14ac:dyDescent="0.2">
      <c r="A432" s="28" t="s">
        <v>389</v>
      </c>
      <c r="B432" s="12">
        <f>B109</f>
        <v>157.16412380339625</v>
      </c>
      <c r="C432" s="1" t="s">
        <v>56</v>
      </c>
      <c r="D432" s="1"/>
      <c r="K432" s="1"/>
      <c r="L432" s="1"/>
      <c r="M432" s="1"/>
      <c r="N432" s="1"/>
      <c r="O432" s="102"/>
      <c r="P432" s="120"/>
      <c r="Q432" s="102"/>
      <c r="R432" s="175"/>
      <c r="S432" s="122"/>
      <c r="T432" s="102"/>
      <c r="U432" s="28"/>
      <c r="V432" s="28"/>
      <c r="W432" s="119"/>
      <c r="X432" s="108"/>
      <c r="Y432" s="108"/>
      <c r="Z432" s="28"/>
      <c r="AA432" s="28"/>
      <c r="AB432" s="260"/>
      <c r="AC432" s="102"/>
      <c r="AD432" s="120"/>
      <c r="AE432" s="120"/>
      <c r="AF432" s="175"/>
      <c r="AG432" s="175"/>
      <c r="AH432" s="214"/>
      <c r="AI432" s="261"/>
      <c r="AJ432" s="291"/>
      <c r="AK432" s="256"/>
      <c r="AL432" s="28"/>
      <c r="AM432" s="108"/>
      <c r="AN432" s="260"/>
      <c r="AO432" s="102"/>
      <c r="AP432" s="120"/>
      <c r="AQ432" s="120"/>
      <c r="AR432" s="119"/>
      <c r="AS432" s="123"/>
      <c r="AT432" s="123"/>
      <c r="AU432" s="124"/>
      <c r="AV432" s="124"/>
      <c r="AW432" s="108"/>
      <c r="AX432" s="102"/>
      <c r="AY432" s="102"/>
      <c r="AZ432" s="119"/>
      <c r="BA432" s="123"/>
      <c r="BB432" s="123"/>
      <c r="BC432" s="108"/>
      <c r="BD432" s="108"/>
      <c r="BE432" s="260"/>
      <c r="BF432" s="102"/>
      <c r="BG432" s="120"/>
      <c r="BH432" s="102"/>
      <c r="BI432" s="261"/>
      <c r="BJ432" s="119"/>
      <c r="BK432" s="261"/>
      <c r="BL432" s="102"/>
      <c r="BM432" s="119"/>
      <c r="BN432" s="123"/>
      <c r="BO432" s="123"/>
      <c r="BP432" s="123"/>
      <c r="BQ432" s="108"/>
      <c r="BR432" s="108"/>
      <c r="BS432" s="124"/>
      <c r="BT432" s="108"/>
      <c r="BU432" s="260"/>
      <c r="BV432" s="102"/>
      <c r="BW432" s="120"/>
      <c r="BX432" s="120"/>
      <c r="BY432" s="254"/>
      <c r="BZ432" s="254"/>
      <c r="CA432" s="253"/>
      <c r="CB432" s="256"/>
      <c r="CC432" s="256"/>
      <c r="CD432" s="257"/>
      <c r="CE432" s="255"/>
      <c r="CF432" s="255"/>
      <c r="CG432" s="126"/>
      <c r="CH432" s="209"/>
      <c r="CI432" s="256"/>
      <c r="CJ432" s="208"/>
      <c r="CK432" s="208"/>
      <c r="CL432" s="254"/>
      <c r="CM432" s="209"/>
      <c r="CN432" s="254"/>
      <c r="CO432" s="28"/>
      <c r="CP432" s="28"/>
      <c r="CQ432" s="28"/>
      <c r="CR432" s="28"/>
      <c r="CS432" s="28"/>
      <c r="CT432" s="28"/>
      <c r="CU432" s="28"/>
      <c r="CV432" s="28"/>
    </row>
    <row r="433" spans="1:100" ht="12" customHeight="1" x14ac:dyDescent="0.2">
      <c r="A433" s="28" t="s">
        <v>390</v>
      </c>
      <c r="B433" s="12">
        <f>B75</f>
        <v>114.46428194813566</v>
      </c>
      <c r="C433" s="1" t="s">
        <v>56</v>
      </c>
      <c r="D433" s="1"/>
      <c r="K433" s="1"/>
      <c r="L433" s="1"/>
      <c r="M433" s="1"/>
      <c r="N433" s="1"/>
      <c r="O433" s="102"/>
      <c r="P433" s="120"/>
      <c r="Q433" s="102"/>
      <c r="R433" s="175"/>
      <c r="S433" s="122"/>
      <c r="T433" s="102"/>
      <c r="U433" s="28"/>
      <c r="V433" s="28"/>
      <c r="W433" s="119"/>
      <c r="X433" s="108"/>
      <c r="Y433" s="108"/>
      <c r="Z433" s="28"/>
      <c r="AA433" s="28"/>
      <c r="AB433" s="260"/>
      <c r="AC433" s="102"/>
      <c r="AD433" s="120"/>
      <c r="AE433" s="120"/>
      <c r="AF433" s="175"/>
      <c r="AG433" s="175"/>
      <c r="AH433" s="214"/>
      <c r="AI433" s="261"/>
      <c r="AJ433" s="291"/>
      <c r="AK433" s="256"/>
      <c r="AL433" s="28"/>
      <c r="AM433" s="108"/>
      <c r="AN433" s="260"/>
      <c r="AO433" s="102"/>
      <c r="AP433" s="120"/>
      <c r="AQ433" s="120"/>
      <c r="AR433" s="119"/>
      <c r="AS433" s="123"/>
      <c r="AT433" s="123"/>
      <c r="AU433" s="124"/>
      <c r="AV433" s="124"/>
      <c r="AW433" s="108"/>
      <c r="AX433" s="102"/>
      <c r="AY433" s="102"/>
      <c r="AZ433" s="119"/>
      <c r="BA433" s="123"/>
      <c r="BB433" s="123"/>
      <c r="BC433" s="108"/>
      <c r="BD433" s="108"/>
      <c r="BE433" s="260"/>
      <c r="BF433" s="102"/>
      <c r="BG433" s="120"/>
      <c r="BH433" s="102"/>
      <c r="BI433" s="261"/>
      <c r="BJ433" s="119"/>
      <c r="BK433" s="261"/>
      <c r="BL433" s="102"/>
      <c r="BM433" s="119"/>
      <c r="BN433" s="123"/>
      <c r="BO433" s="123"/>
      <c r="BP433" s="123"/>
      <c r="BQ433" s="108"/>
      <c r="BR433" s="108"/>
      <c r="BS433" s="124"/>
      <c r="BT433" s="108"/>
      <c r="BU433" s="260"/>
      <c r="BV433" s="102"/>
      <c r="BW433" s="120"/>
      <c r="BX433" s="120"/>
      <c r="BY433" s="254"/>
      <c r="BZ433" s="254"/>
      <c r="CA433" s="253"/>
      <c r="CB433" s="256"/>
      <c r="CC433" s="256"/>
      <c r="CD433" s="257"/>
      <c r="CE433" s="255"/>
      <c r="CF433" s="255"/>
      <c r="CG433" s="126"/>
      <c r="CH433" s="209"/>
      <c r="CI433" s="256"/>
      <c r="CJ433" s="208"/>
      <c r="CK433" s="208"/>
      <c r="CL433" s="254"/>
      <c r="CM433" s="209"/>
      <c r="CN433" s="254"/>
      <c r="CO433" s="28"/>
      <c r="CP433" s="28"/>
      <c r="CQ433" s="28"/>
      <c r="CR433" s="28"/>
      <c r="CS433" s="28"/>
      <c r="CT433" s="28"/>
      <c r="CU433" s="28"/>
      <c r="CV433" s="28"/>
    </row>
    <row r="434" spans="1:100" ht="12" customHeight="1" x14ac:dyDescent="0.2">
      <c r="A434" s="36" t="s">
        <v>24</v>
      </c>
      <c r="B434" s="37">
        <f>'Data Input'!B14</f>
        <v>1</v>
      </c>
      <c r="C434" s="1"/>
      <c r="D434" s="1"/>
      <c r="E434" s="9" t="s">
        <v>391</v>
      </c>
      <c r="K434" s="1"/>
      <c r="L434" s="1"/>
      <c r="M434" s="1"/>
      <c r="N434" s="1"/>
      <c r="O434" s="102"/>
      <c r="P434" s="120"/>
      <c r="Q434" s="102"/>
      <c r="R434" s="175"/>
      <c r="S434" s="122"/>
      <c r="T434" s="102"/>
      <c r="U434" s="28"/>
      <c r="V434" s="28"/>
      <c r="W434" s="119"/>
      <c r="X434" s="108"/>
      <c r="Y434" s="108"/>
      <c r="Z434" s="28"/>
      <c r="AA434" s="28"/>
      <c r="AB434" s="260"/>
      <c r="AC434" s="102"/>
      <c r="AD434" s="120"/>
      <c r="AE434" s="120"/>
      <c r="AF434" s="175"/>
      <c r="AG434" s="175"/>
      <c r="AH434" s="214"/>
      <c r="AI434" s="261"/>
      <c r="AJ434" s="291"/>
      <c r="AK434" s="256"/>
      <c r="AL434" s="28"/>
      <c r="AM434" s="108"/>
      <c r="AN434" s="260"/>
      <c r="AO434" s="102"/>
      <c r="AP434" s="120"/>
      <c r="AQ434" s="120"/>
      <c r="AR434" s="119"/>
      <c r="AS434" s="123"/>
      <c r="AT434" s="123"/>
      <c r="AU434" s="124"/>
      <c r="AV434" s="124"/>
      <c r="AW434" s="108"/>
      <c r="AX434" s="102"/>
      <c r="AY434" s="102"/>
      <c r="AZ434" s="119"/>
      <c r="BA434" s="123"/>
      <c r="BB434" s="123"/>
      <c r="BC434" s="108"/>
      <c r="BD434" s="108"/>
      <c r="BE434" s="260"/>
      <c r="BF434" s="102"/>
      <c r="BG434" s="120"/>
      <c r="BH434" s="102"/>
      <c r="BI434" s="261"/>
      <c r="BJ434" s="119"/>
      <c r="BK434" s="261"/>
      <c r="BL434" s="102"/>
      <c r="BM434" s="119"/>
      <c r="BN434" s="123"/>
      <c r="BO434" s="123"/>
      <c r="BP434" s="123"/>
      <c r="BQ434" s="108"/>
      <c r="BR434" s="108"/>
      <c r="BS434" s="124"/>
      <c r="BT434" s="108"/>
      <c r="BU434" s="260"/>
      <c r="BV434" s="102"/>
      <c r="BW434" s="120"/>
      <c r="BX434" s="120"/>
      <c r="BY434" s="254"/>
      <c r="BZ434" s="254"/>
      <c r="CA434" s="253"/>
      <c r="CB434" s="256"/>
      <c r="CC434" s="256"/>
      <c r="CD434" s="257"/>
      <c r="CE434" s="255"/>
      <c r="CF434" s="255"/>
      <c r="CG434" s="126"/>
      <c r="CH434" s="209"/>
      <c r="CI434" s="256"/>
      <c r="CJ434" s="208"/>
      <c r="CK434" s="208"/>
      <c r="CL434" s="254"/>
      <c r="CM434" s="209"/>
      <c r="CN434" s="254"/>
      <c r="CO434" s="28"/>
      <c r="CP434" s="28"/>
      <c r="CQ434" s="28"/>
      <c r="CR434" s="28"/>
      <c r="CS434" s="28"/>
      <c r="CT434" s="28"/>
      <c r="CU434" s="28"/>
      <c r="CV434" s="28"/>
    </row>
    <row r="435" spans="1:100" ht="12" customHeight="1" x14ac:dyDescent="0.2">
      <c r="A435" s="36"/>
      <c r="B435" s="1"/>
      <c r="C435" s="1"/>
      <c r="D435" s="1"/>
      <c r="E435" s="1" t="s">
        <v>392</v>
      </c>
      <c r="F435" s="1"/>
      <c r="G435" s="1"/>
      <c r="H435" s="37">
        <f>B426^2*PI()/4-B427^2*PI()/4*2*B419</f>
        <v>180.71012851541514</v>
      </c>
      <c r="I435" s="1" t="s">
        <v>336</v>
      </c>
      <c r="J435" s="1"/>
      <c r="L435" s="1"/>
      <c r="M435" s="1"/>
      <c r="N435" s="1"/>
      <c r="O435" s="102"/>
      <c r="P435" s="120"/>
      <c r="Q435" s="102"/>
      <c r="R435" s="175"/>
      <c r="S435" s="122"/>
      <c r="T435" s="102"/>
      <c r="U435" s="28"/>
      <c r="V435" s="28"/>
      <c r="W435" s="119"/>
      <c r="X435" s="108"/>
      <c r="Y435" s="108"/>
      <c r="Z435" s="28"/>
      <c r="AA435" s="28"/>
      <c r="AB435" s="260"/>
      <c r="AC435" s="102"/>
      <c r="AD435" s="120"/>
      <c r="AE435" s="120"/>
      <c r="AF435" s="175"/>
      <c r="AG435" s="175"/>
      <c r="AH435" s="214"/>
      <c r="AI435" s="261"/>
      <c r="AJ435" s="291"/>
      <c r="AK435" s="256"/>
      <c r="AL435" s="28"/>
      <c r="AM435" s="108"/>
      <c r="AN435" s="260"/>
      <c r="AO435" s="102"/>
      <c r="AP435" s="120"/>
      <c r="AQ435" s="120"/>
      <c r="AR435" s="119"/>
      <c r="AS435" s="123"/>
      <c r="AT435" s="123"/>
      <c r="AU435" s="124"/>
      <c r="AV435" s="124"/>
      <c r="AW435" s="108"/>
      <c r="AX435" s="102"/>
      <c r="AY435" s="102"/>
      <c r="AZ435" s="119"/>
      <c r="BA435" s="123"/>
      <c r="BB435" s="123"/>
      <c r="BC435" s="108"/>
      <c r="BD435" s="108"/>
      <c r="BE435" s="260"/>
      <c r="BF435" s="102"/>
      <c r="BG435" s="120"/>
      <c r="BH435" s="102"/>
      <c r="BI435" s="261"/>
      <c r="BJ435" s="119"/>
      <c r="BK435" s="261"/>
      <c r="BL435" s="102"/>
      <c r="BM435" s="119"/>
      <c r="BN435" s="123"/>
      <c r="BO435" s="123"/>
      <c r="BP435" s="123"/>
      <c r="BQ435" s="108"/>
      <c r="BR435" s="108"/>
      <c r="BS435" s="124"/>
      <c r="BT435" s="108"/>
      <c r="BU435" s="260"/>
      <c r="BV435" s="102"/>
      <c r="BW435" s="120"/>
      <c r="BX435" s="120"/>
      <c r="BY435" s="254"/>
      <c r="BZ435" s="254"/>
      <c r="CA435" s="253"/>
      <c r="CB435" s="256"/>
      <c r="CC435" s="256"/>
      <c r="CD435" s="257"/>
      <c r="CE435" s="255"/>
      <c r="CF435" s="255"/>
      <c r="CG435" s="126"/>
      <c r="CH435" s="209"/>
      <c r="CI435" s="256"/>
      <c r="CJ435" s="208"/>
      <c r="CK435" s="208"/>
      <c r="CL435" s="254"/>
      <c r="CM435" s="209"/>
      <c r="CN435" s="254"/>
      <c r="CO435" s="28"/>
      <c r="CP435" s="28"/>
      <c r="CQ435" s="28"/>
      <c r="CR435" s="28"/>
      <c r="CS435" s="28"/>
      <c r="CT435" s="28"/>
      <c r="CU435" s="28"/>
      <c r="CV435" s="28"/>
    </row>
    <row r="436" spans="1:100" ht="12" customHeight="1" x14ac:dyDescent="0.2">
      <c r="A436" s="36" t="s">
        <v>393</v>
      </c>
      <c r="B436" s="37">
        <f>'Data Input'!B32+1</f>
        <v>5</v>
      </c>
      <c r="C436" s="1" t="s">
        <v>317</v>
      </c>
      <c r="D436" s="1"/>
      <c r="E436" s="1" t="s">
        <v>394</v>
      </c>
      <c r="F436" s="1"/>
      <c r="G436" s="1"/>
      <c r="H436" s="37">
        <f>H435*4/((B426+B427*2*B419)*PI())</f>
        <v>7.5867289782244534</v>
      </c>
      <c r="I436" s="1" t="s">
        <v>56</v>
      </c>
      <c r="J436" s="37" t="s">
        <v>340</v>
      </c>
      <c r="L436" s="1"/>
      <c r="M436" s="1"/>
      <c r="N436" s="1"/>
      <c r="O436" s="102"/>
      <c r="P436" s="120"/>
      <c r="Q436" s="102"/>
      <c r="R436" s="175"/>
      <c r="S436" s="122"/>
      <c r="T436" s="102"/>
      <c r="U436" s="28"/>
      <c r="V436" s="28"/>
      <c r="W436" s="119"/>
      <c r="X436" s="108"/>
      <c r="Y436" s="108"/>
      <c r="Z436" s="28"/>
      <c r="AA436" s="28"/>
      <c r="AB436" s="260"/>
      <c r="AC436" s="102"/>
      <c r="AD436" s="120"/>
      <c r="AE436" s="120"/>
      <c r="AF436" s="175"/>
      <c r="AG436" s="175"/>
      <c r="AH436" s="214"/>
      <c r="AI436" s="261"/>
      <c r="AJ436" s="291"/>
      <c r="AK436" s="256"/>
      <c r="AL436" s="28"/>
      <c r="AM436" s="108"/>
      <c r="AN436" s="260"/>
      <c r="AO436" s="102"/>
      <c r="AP436" s="120"/>
      <c r="AQ436" s="120"/>
      <c r="AR436" s="119"/>
      <c r="AS436" s="123"/>
      <c r="AT436" s="123"/>
      <c r="AU436" s="124"/>
      <c r="AV436" s="124"/>
      <c r="AW436" s="108"/>
      <c r="AX436" s="102"/>
      <c r="AY436" s="102"/>
      <c r="AZ436" s="119"/>
      <c r="BA436" s="123"/>
      <c r="BB436" s="123"/>
      <c r="BC436" s="108"/>
      <c r="BD436" s="108"/>
      <c r="BE436" s="260"/>
      <c r="BF436" s="102"/>
      <c r="BG436" s="120"/>
      <c r="BH436" s="102"/>
      <c r="BI436" s="261"/>
      <c r="BJ436" s="119"/>
      <c r="BK436" s="261"/>
      <c r="BL436" s="102"/>
      <c r="BM436" s="119"/>
      <c r="BN436" s="123"/>
      <c r="BO436" s="123"/>
      <c r="BP436" s="123"/>
      <c r="BQ436" s="108"/>
      <c r="BR436" s="108"/>
      <c r="BS436" s="124"/>
      <c r="BT436" s="108"/>
      <c r="BU436" s="260"/>
      <c r="BV436" s="102"/>
      <c r="BW436" s="120"/>
      <c r="BX436" s="120"/>
      <c r="BY436" s="254"/>
      <c r="BZ436" s="254"/>
      <c r="CA436" s="253"/>
      <c r="CB436" s="256"/>
      <c r="CC436" s="256"/>
      <c r="CD436" s="257"/>
      <c r="CE436" s="255"/>
      <c r="CF436" s="255"/>
      <c r="CG436" s="126"/>
      <c r="CH436" s="209"/>
      <c r="CI436" s="256"/>
      <c r="CJ436" s="208"/>
      <c r="CK436" s="208"/>
      <c r="CL436" s="254"/>
      <c r="CM436" s="209"/>
      <c r="CN436" s="254"/>
      <c r="CO436" s="28"/>
      <c r="CP436" s="28"/>
      <c r="CQ436" s="28"/>
      <c r="CR436" s="28"/>
      <c r="CS436" s="28"/>
      <c r="CT436" s="28"/>
      <c r="CU436" s="28"/>
      <c r="CV436" s="28"/>
    </row>
    <row r="437" spans="1:100" ht="12" customHeight="1" x14ac:dyDescent="0.2">
      <c r="A437" s="36" t="s">
        <v>92</v>
      </c>
      <c r="B437" s="37">
        <f>B6</f>
        <v>161.00127538118977</v>
      </c>
      <c r="C437" s="1" t="s">
        <v>13</v>
      </c>
      <c r="D437" s="1"/>
      <c r="E437" s="14" t="s">
        <v>395</v>
      </c>
      <c r="G437" s="1"/>
      <c r="H437" s="172">
        <f>1-EXP(-B423*H436/1000)</f>
        <v>6.8047978717084012E-3</v>
      </c>
      <c r="J437" s="1" t="s">
        <v>396</v>
      </c>
      <c r="K437" s="37"/>
      <c r="L437" s="1"/>
      <c r="M437" s="1"/>
      <c r="N437" s="1"/>
      <c r="O437" s="102"/>
      <c r="P437" s="120"/>
      <c r="Q437" s="102"/>
      <c r="R437" s="175"/>
      <c r="S437" s="122"/>
      <c r="T437" s="102"/>
      <c r="U437" s="28"/>
      <c r="V437" s="28"/>
      <c r="W437" s="119"/>
      <c r="X437" s="108"/>
      <c r="Y437" s="108"/>
      <c r="Z437" s="28"/>
      <c r="AA437" s="28"/>
      <c r="AB437" s="260"/>
      <c r="AC437" s="102"/>
      <c r="AD437" s="120"/>
      <c r="AE437" s="120"/>
      <c r="AF437" s="175"/>
      <c r="AG437" s="175"/>
      <c r="AH437" s="214"/>
      <c r="AI437" s="261"/>
      <c r="AJ437" s="291"/>
      <c r="AK437" s="256"/>
      <c r="AL437" s="28"/>
      <c r="AM437" s="108"/>
      <c r="AN437" s="260"/>
      <c r="AO437" s="102"/>
      <c r="AP437" s="120"/>
      <c r="AQ437" s="120"/>
      <c r="AR437" s="119"/>
      <c r="AS437" s="123"/>
      <c r="AT437" s="123"/>
      <c r="AU437" s="124"/>
      <c r="AV437" s="124"/>
      <c r="AW437" s="108"/>
      <c r="AX437" s="102"/>
      <c r="AY437" s="102"/>
      <c r="AZ437" s="119"/>
      <c r="BA437" s="123"/>
      <c r="BB437" s="123"/>
      <c r="BC437" s="108"/>
      <c r="BD437" s="108"/>
      <c r="BE437" s="260"/>
      <c r="BF437" s="102"/>
      <c r="BG437" s="120"/>
      <c r="BH437" s="102"/>
      <c r="BI437" s="261"/>
      <c r="BJ437" s="119"/>
      <c r="BK437" s="261"/>
      <c r="BL437" s="102"/>
      <c r="BM437" s="119"/>
      <c r="BN437" s="123"/>
      <c r="BO437" s="123"/>
      <c r="BP437" s="123"/>
      <c r="BQ437" s="108"/>
      <c r="BR437" s="108"/>
      <c r="BS437" s="124"/>
      <c r="BT437" s="108"/>
      <c r="BU437" s="260"/>
      <c r="BV437" s="102"/>
      <c r="BW437" s="120"/>
      <c r="BX437" s="120"/>
      <c r="BY437" s="254"/>
      <c r="BZ437" s="254"/>
      <c r="CA437" s="253"/>
      <c r="CB437" s="256"/>
      <c r="CC437" s="256"/>
      <c r="CD437" s="257"/>
      <c r="CE437" s="255"/>
      <c r="CF437" s="255"/>
      <c r="CG437" s="126"/>
      <c r="CH437" s="209"/>
      <c r="CI437" s="256"/>
      <c r="CJ437" s="208"/>
      <c r="CK437" s="208"/>
      <c r="CL437" s="254"/>
      <c r="CM437" s="209"/>
      <c r="CN437" s="254"/>
      <c r="CO437" s="28"/>
      <c r="CP437" s="28"/>
      <c r="CQ437" s="28"/>
      <c r="CR437" s="28"/>
      <c r="CS437" s="28"/>
      <c r="CT437" s="28"/>
      <c r="CU437" s="28"/>
      <c r="CV437" s="28"/>
    </row>
    <row r="438" spans="1:100" ht="12" customHeight="1" x14ac:dyDescent="0.2">
      <c r="A438" s="36" t="s">
        <v>397</v>
      </c>
      <c r="B438" s="12">
        <f>C349</f>
        <v>195.61888932471572</v>
      </c>
      <c r="C438" s="1" t="s">
        <v>13</v>
      </c>
      <c r="D438" s="1"/>
      <c r="E438" s="9" t="s">
        <v>398</v>
      </c>
      <c r="G438" s="1"/>
      <c r="H438" s="214">
        <f>1-EXP(-B423*B433/1000/2)</f>
        <v>5.0204828779991439E-2</v>
      </c>
      <c r="J438" s="9" t="s">
        <v>399</v>
      </c>
      <c r="L438" s="1"/>
      <c r="M438" s="1"/>
      <c r="N438" s="1"/>
      <c r="O438" s="102"/>
      <c r="P438" s="120"/>
      <c r="Q438" s="102"/>
      <c r="R438" s="175"/>
      <c r="S438" s="122"/>
      <c r="T438" s="102"/>
      <c r="U438" s="28"/>
      <c r="V438" s="28"/>
      <c r="W438" s="119"/>
      <c r="X438" s="108"/>
      <c r="Y438" s="108"/>
      <c r="Z438" s="28"/>
      <c r="AA438" s="28"/>
      <c r="AB438" s="260"/>
      <c r="AC438" s="102"/>
      <c r="AD438" s="120"/>
      <c r="AE438" s="120"/>
      <c r="AF438" s="175"/>
      <c r="AG438" s="175"/>
      <c r="AH438" s="214"/>
      <c r="AI438" s="261"/>
      <c r="AJ438" s="291"/>
      <c r="AK438" s="256"/>
      <c r="AL438" s="28"/>
      <c r="AM438" s="108"/>
      <c r="AN438" s="260"/>
      <c r="AO438" s="102"/>
      <c r="AP438" s="120"/>
      <c r="AQ438" s="120"/>
      <c r="AR438" s="119"/>
      <c r="AS438" s="123"/>
      <c r="AT438" s="123"/>
      <c r="AU438" s="124"/>
      <c r="AV438" s="124"/>
      <c r="AW438" s="108"/>
      <c r="AX438" s="102"/>
      <c r="AY438" s="102"/>
      <c r="AZ438" s="119"/>
      <c r="BA438" s="123"/>
      <c r="BB438" s="123"/>
      <c r="BC438" s="108"/>
      <c r="BD438" s="108"/>
      <c r="BE438" s="260"/>
      <c r="BF438" s="102"/>
      <c r="BG438" s="120"/>
      <c r="BH438" s="102"/>
      <c r="BI438" s="261"/>
      <c r="BJ438" s="119"/>
      <c r="BK438" s="261"/>
      <c r="BL438" s="102"/>
      <c r="BM438" s="119"/>
      <c r="BN438" s="123"/>
      <c r="BO438" s="123"/>
      <c r="BP438" s="123"/>
      <c r="BQ438" s="108"/>
      <c r="BR438" s="108"/>
      <c r="BS438" s="124"/>
      <c r="BT438" s="108"/>
      <c r="BU438" s="260"/>
      <c r="BV438" s="102"/>
      <c r="BW438" s="120"/>
      <c r="BX438" s="120"/>
      <c r="BY438" s="254"/>
      <c r="BZ438" s="254"/>
      <c r="CA438" s="253"/>
      <c r="CB438" s="256"/>
      <c r="CC438" s="256"/>
      <c r="CD438" s="257"/>
      <c r="CE438" s="255"/>
      <c r="CF438" s="255"/>
      <c r="CG438" s="126"/>
      <c r="CH438" s="209"/>
      <c r="CI438" s="256"/>
      <c r="CJ438" s="208"/>
      <c r="CK438" s="208"/>
      <c r="CL438" s="254"/>
      <c r="CM438" s="209"/>
      <c r="CN438" s="254"/>
      <c r="CO438" s="28"/>
      <c r="CP438" s="28"/>
      <c r="CQ438" s="28"/>
      <c r="CR438" s="28"/>
      <c r="CS438" s="28"/>
      <c r="CT438" s="28"/>
      <c r="CU438" s="28"/>
      <c r="CV438" s="28"/>
    </row>
    <row r="439" spans="1:100" ht="12" customHeight="1" x14ac:dyDescent="0.2">
      <c r="A439" s="36" t="s">
        <v>501</v>
      </c>
      <c r="B439" s="12">
        <f>C348</f>
        <v>2847.4838098586138</v>
      </c>
      <c r="C439" s="1" t="s">
        <v>90</v>
      </c>
      <c r="D439" s="1"/>
      <c r="E439" s="14" t="s">
        <v>401</v>
      </c>
      <c r="H439" s="214">
        <f>EXP(-B423*B432/1000)</f>
        <v>0.86810056614142483</v>
      </c>
      <c r="J439" s="1" t="s">
        <v>402</v>
      </c>
      <c r="K439" s="1"/>
      <c r="L439" s="1"/>
      <c r="M439" s="1"/>
      <c r="N439" s="1"/>
      <c r="O439" s="102"/>
      <c r="P439" s="120"/>
      <c r="Q439" s="102"/>
      <c r="R439" s="175"/>
      <c r="S439" s="122"/>
      <c r="T439" s="102"/>
      <c r="U439" s="28"/>
      <c r="V439" s="28"/>
      <c r="W439" s="119"/>
      <c r="X439" s="108"/>
      <c r="Y439" s="108"/>
      <c r="Z439" s="28"/>
      <c r="AA439" s="28"/>
      <c r="AB439" s="260"/>
      <c r="AC439" s="102"/>
      <c r="AD439" s="120"/>
      <c r="AE439" s="120"/>
      <c r="AF439" s="175"/>
      <c r="AG439" s="175"/>
      <c r="AH439" s="214"/>
      <c r="AI439" s="261"/>
      <c r="AJ439" s="291"/>
      <c r="AK439" s="256"/>
      <c r="AL439" s="28"/>
      <c r="AM439" s="108"/>
      <c r="AN439" s="260"/>
      <c r="AO439" s="102"/>
      <c r="AP439" s="120"/>
      <c r="AQ439" s="120"/>
      <c r="AR439" s="119"/>
      <c r="AS439" s="123"/>
      <c r="AT439" s="123"/>
      <c r="AU439" s="124"/>
      <c r="AV439" s="124"/>
      <c r="AW439" s="108"/>
      <c r="AX439" s="102"/>
      <c r="AY439" s="102"/>
      <c r="AZ439" s="119"/>
      <c r="BA439" s="123"/>
      <c r="BB439" s="123"/>
      <c r="BC439" s="108"/>
      <c r="BD439" s="108"/>
      <c r="BE439" s="260"/>
      <c r="BF439" s="102"/>
      <c r="BG439" s="120"/>
      <c r="BH439" s="102"/>
      <c r="BI439" s="261"/>
      <c r="BJ439" s="119"/>
      <c r="BK439" s="261"/>
      <c r="BL439" s="102"/>
      <c r="BM439" s="119"/>
      <c r="BN439" s="123"/>
      <c r="BO439" s="123"/>
      <c r="BP439" s="123"/>
      <c r="BQ439" s="108"/>
      <c r="BR439" s="108"/>
      <c r="BS439" s="124"/>
      <c r="BT439" s="108"/>
      <c r="BU439" s="260"/>
      <c r="BV439" s="102"/>
      <c r="BW439" s="120"/>
      <c r="BX439" s="120"/>
      <c r="BY439" s="254"/>
      <c r="BZ439" s="254"/>
      <c r="CA439" s="253"/>
      <c r="CB439" s="256"/>
      <c r="CC439" s="256"/>
      <c r="CD439" s="257"/>
      <c r="CE439" s="255"/>
      <c r="CF439" s="255"/>
      <c r="CG439" s="126"/>
      <c r="CH439" s="209"/>
      <c r="CI439" s="256"/>
      <c r="CJ439" s="208"/>
      <c r="CK439" s="208"/>
      <c r="CL439" s="254"/>
      <c r="CM439" s="209"/>
      <c r="CN439" s="254"/>
      <c r="CO439" s="28"/>
      <c r="CP439" s="28"/>
      <c r="CQ439" s="28"/>
      <c r="CR439" s="28"/>
      <c r="CS439" s="28"/>
      <c r="CT439" s="28"/>
      <c r="CU439" s="28"/>
      <c r="CV439" s="28"/>
    </row>
    <row r="440" spans="1:100" ht="12" customHeight="1" x14ac:dyDescent="0.2">
      <c r="A440" s="36" t="s">
        <v>403</v>
      </c>
      <c r="B440" s="6">
        <f>B413</f>
        <v>3.585961439350038E-3</v>
      </c>
      <c r="C440" s="1" t="s">
        <v>153</v>
      </c>
      <c r="D440" s="1"/>
      <c r="E440" s="9" t="s">
        <v>404</v>
      </c>
      <c r="H440" s="26">
        <f>1/(PI()*(B432/1000)^2)*1*0.5</f>
        <v>6.4433734062571704</v>
      </c>
      <c r="I440" s="9" t="s">
        <v>405</v>
      </c>
      <c r="J440" s="1" t="s">
        <v>406</v>
      </c>
      <c r="K440" s="1"/>
      <c r="L440" s="1"/>
      <c r="M440" s="1"/>
      <c r="N440" s="1"/>
      <c r="O440" s="102"/>
      <c r="P440" s="120"/>
      <c r="Q440" s="102"/>
      <c r="R440" s="175"/>
      <c r="S440" s="122"/>
      <c r="T440" s="102"/>
      <c r="U440" s="28"/>
      <c r="V440" s="28"/>
      <c r="W440" s="119"/>
      <c r="X440" s="108"/>
      <c r="Y440" s="108"/>
      <c r="Z440" s="28"/>
      <c r="AA440" s="28"/>
      <c r="AB440" s="260"/>
      <c r="AC440" s="102"/>
      <c r="AD440" s="120"/>
      <c r="AE440" s="120"/>
      <c r="AF440" s="175"/>
      <c r="AG440" s="175"/>
      <c r="AH440" s="214"/>
      <c r="AI440" s="261"/>
      <c r="AJ440" s="291"/>
      <c r="AK440" s="256"/>
      <c r="AL440" s="28"/>
      <c r="AM440" s="108"/>
      <c r="AN440" s="260"/>
      <c r="AO440" s="102"/>
      <c r="AP440" s="120"/>
      <c r="AQ440" s="120"/>
      <c r="AR440" s="119"/>
      <c r="AS440" s="123"/>
      <c r="AT440" s="123"/>
      <c r="AU440" s="124"/>
      <c r="AV440" s="124"/>
      <c r="AW440" s="108"/>
      <c r="AX440" s="102"/>
      <c r="AY440" s="102"/>
      <c r="AZ440" s="119"/>
      <c r="BA440" s="123"/>
      <c r="BB440" s="123"/>
      <c r="BC440" s="108"/>
      <c r="BD440" s="108"/>
      <c r="BE440" s="260"/>
      <c r="BF440" s="102"/>
      <c r="BG440" s="120"/>
      <c r="BH440" s="102"/>
      <c r="BI440" s="261"/>
      <c r="BJ440" s="119"/>
      <c r="BK440" s="261"/>
      <c r="BL440" s="102"/>
      <c r="BM440" s="119"/>
      <c r="BN440" s="123"/>
      <c r="BO440" s="123"/>
      <c r="BP440" s="123"/>
      <c r="BQ440" s="108"/>
      <c r="BR440" s="108"/>
      <c r="BS440" s="124"/>
      <c r="BT440" s="108"/>
      <c r="BU440" s="260"/>
      <c r="BV440" s="102"/>
      <c r="BW440" s="120"/>
      <c r="BX440" s="120"/>
      <c r="BY440" s="254"/>
      <c r="BZ440" s="254"/>
      <c r="CA440" s="253"/>
      <c r="CB440" s="256"/>
      <c r="CC440" s="256"/>
      <c r="CD440" s="257"/>
      <c r="CE440" s="255"/>
      <c r="CF440" s="255"/>
      <c r="CG440" s="126"/>
      <c r="CH440" s="209"/>
      <c r="CI440" s="256"/>
      <c r="CJ440" s="208"/>
      <c r="CK440" s="208"/>
      <c r="CL440" s="254"/>
      <c r="CM440" s="209"/>
      <c r="CN440" s="254"/>
      <c r="CO440" s="28"/>
      <c r="CP440" s="28"/>
      <c r="CQ440" s="28"/>
      <c r="CR440" s="28"/>
      <c r="CS440" s="28"/>
      <c r="CT440" s="28"/>
      <c r="CU440" s="28"/>
      <c r="CV440" s="28"/>
    </row>
    <row r="441" spans="1:100" ht="12" customHeight="1" x14ac:dyDescent="0.2">
      <c r="A441" s="36" t="s">
        <v>407</v>
      </c>
      <c r="B441" s="6">
        <f>IF(B418=0,"N.A.",B440/B418/B419)</f>
        <v>7.1719228787000763E-4</v>
      </c>
      <c r="C441" s="1" t="s">
        <v>153</v>
      </c>
      <c r="D441" s="1"/>
      <c r="E441" s="1"/>
      <c r="F441" s="1"/>
      <c r="G441" s="1"/>
      <c r="H441" s="1"/>
      <c r="I441" s="1"/>
      <c r="J441" s="1" t="s">
        <v>408</v>
      </c>
      <c r="K441" s="1"/>
      <c r="L441" s="1"/>
      <c r="M441" s="1"/>
      <c r="N441" s="1"/>
      <c r="O441" s="102"/>
      <c r="P441" s="120"/>
      <c r="Q441" s="102"/>
      <c r="R441" s="175"/>
      <c r="S441" s="122"/>
      <c r="T441" s="102"/>
      <c r="U441" s="28"/>
      <c r="V441" s="28"/>
      <c r="W441" s="119"/>
      <c r="X441" s="108"/>
      <c r="Y441" s="108"/>
      <c r="Z441" s="28"/>
      <c r="AA441" s="28"/>
      <c r="AB441" s="260"/>
      <c r="AC441" s="102"/>
      <c r="AD441" s="120"/>
      <c r="AE441" s="120"/>
      <c r="AF441" s="175"/>
      <c r="AG441" s="175"/>
      <c r="AH441" s="214"/>
      <c r="AI441" s="261"/>
      <c r="AJ441" s="291"/>
      <c r="AK441" s="256"/>
      <c r="AL441" s="28"/>
      <c r="AM441" s="108"/>
      <c r="AN441" s="260"/>
      <c r="AO441" s="102"/>
      <c r="AP441" s="120"/>
      <c r="AQ441" s="120"/>
      <c r="AR441" s="119"/>
      <c r="AS441" s="123"/>
      <c r="AT441" s="123"/>
      <c r="AU441" s="124"/>
      <c r="AV441" s="124"/>
      <c r="AW441" s="108"/>
      <c r="AX441" s="102"/>
      <c r="AY441" s="102"/>
      <c r="AZ441" s="119"/>
      <c r="BA441" s="123"/>
      <c r="BB441" s="123"/>
      <c r="BC441" s="108"/>
      <c r="BD441" s="108"/>
      <c r="BE441" s="260"/>
      <c r="BF441" s="102"/>
      <c r="BG441" s="120"/>
      <c r="BH441" s="102"/>
      <c r="BI441" s="261"/>
      <c r="BJ441" s="119"/>
      <c r="BK441" s="261"/>
      <c r="BL441" s="102"/>
      <c r="BM441" s="119"/>
      <c r="BN441" s="123"/>
      <c r="BO441" s="123"/>
      <c r="BP441" s="123"/>
      <c r="BQ441" s="108"/>
      <c r="BR441" s="108"/>
      <c r="BS441" s="124"/>
      <c r="BT441" s="108"/>
      <c r="BU441" s="260"/>
      <c r="BV441" s="102"/>
      <c r="BW441" s="120"/>
      <c r="BX441" s="120"/>
      <c r="BY441" s="254"/>
      <c r="BZ441" s="254"/>
      <c r="CA441" s="253"/>
      <c r="CB441" s="256"/>
      <c r="CC441" s="256"/>
      <c r="CD441" s="257"/>
      <c r="CE441" s="255"/>
      <c r="CF441" s="255"/>
      <c r="CG441" s="126"/>
      <c r="CH441" s="209"/>
      <c r="CI441" s="256"/>
      <c r="CJ441" s="208"/>
      <c r="CK441" s="208"/>
      <c r="CL441" s="254"/>
      <c r="CM441" s="209"/>
      <c r="CN441" s="254"/>
      <c r="CO441" s="28"/>
      <c r="CP441" s="28"/>
      <c r="CQ441" s="28"/>
      <c r="CR441" s="28"/>
      <c r="CS441" s="28"/>
      <c r="CT441" s="28"/>
      <c r="CU441" s="28"/>
      <c r="CV441" s="28"/>
    </row>
    <row r="442" spans="1:100" ht="12" customHeight="1" x14ac:dyDescent="0.2">
      <c r="A442" s="1" t="s">
        <v>60</v>
      </c>
      <c r="B442" s="26">
        <f>'Data Input'!B38</f>
        <v>0.30322580645161296</v>
      </c>
      <c r="C442" s="1" t="s">
        <v>61</v>
      </c>
      <c r="D442" s="1" t="s">
        <v>409</v>
      </c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2"/>
      <c r="P442" s="120"/>
      <c r="Q442" s="102"/>
      <c r="R442" s="175"/>
      <c r="S442" s="122"/>
      <c r="T442" s="102"/>
      <c r="U442" s="28"/>
      <c r="V442" s="28"/>
      <c r="W442" s="119"/>
      <c r="X442" s="108"/>
      <c r="Y442" s="108"/>
      <c r="Z442" s="28"/>
      <c r="AA442" s="28"/>
      <c r="AB442" s="260"/>
      <c r="AC442" s="102"/>
      <c r="AD442" s="120"/>
      <c r="AE442" s="120"/>
      <c r="AF442" s="175"/>
      <c r="AG442" s="175"/>
      <c r="AH442" s="214"/>
      <c r="AI442" s="261"/>
      <c r="AJ442" s="291"/>
      <c r="AK442" s="256"/>
      <c r="AL442" s="28"/>
      <c r="AM442" s="108"/>
      <c r="AN442" s="260"/>
      <c r="AO442" s="102"/>
      <c r="AP442" s="120"/>
      <c r="AQ442" s="120"/>
      <c r="AR442" s="119"/>
      <c r="AS442" s="123"/>
      <c r="AT442" s="123"/>
      <c r="AU442" s="124"/>
      <c r="AV442" s="124"/>
      <c r="AW442" s="108"/>
      <c r="AX442" s="102"/>
      <c r="AY442" s="102"/>
      <c r="AZ442" s="119"/>
      <c r="BA442" s="123"/>
      <c r="BB442" s="123"/>
      <c r="BC442" s="108"/>
      <c r="BD442" s="108"/>
      <c r="BE442" s="260"/>
      <c r="BF442" s="102"/>
      <c r="BG442" s="120"/>
      <c r="BH442" s="102"/>
      <c r="BI442" s="261"/>
      <c r="BJ442" s="119"/>
      <c r="BK442" s="261"/>
      <c r="BL442" s="102"/>
      <c r="BM442" s="119"/>
      <c r="BN442" s="123"/>
      <c r="BO442" s="123"/>
      <c r="BP442" s="123"/>
      <c r="BQ442" s="108"/>
      <c r="BR442" s="108"/>
      <c r="BS442" s="124"/>
      <c r="BT442" s="108"/>
      <c r="BU442" s="260"/>
      <c r="BV442" s="102"/>
      <c r="BW442" s="120"/>
      <c r="BX442" s="120"/>
      <c r="BY442" s="254"/>
      <c r="BZ442" s="254"/>
      <c r="CA442" s="253"/>
      <c r="CB442" s="256"/>
      <c r="CC442" s="256"/>
      <c r="CD442" s="257"/>
      <c r="CE442" s="255"/>
      <c r="CF442" s="255"/>
      <c r="CG442" s="126"/>
      <c r="CH442" s="209"/>
      <c r="CI442" s="256"/>
      <c r="CJ442" s="208"/>
      <c r="CK442" s="208"/>
      <c r="CL442" s="254"/>
      <c r="CM442" s="209"/>
      <c r="CN442" s="254"/>
      <c r="CO442" s="28"/>
      <c r="CP442" s="28"/>
      <c r="CQ442" s="28"/>
      <c r="CR442" s="28"/>
      <c r="CS442" s="28"/>
      <c r="CT442" s="28"/>
      <c r="CU442" s="28"/>
      <c r="CV442" s="28"/>
    </row>
    <row r="443" spans="1:100" ht="12" customHeight="1" x14ac:dyDescent="0.2">
      <c r="A443" s="36" t="s">
        <v>410</v>
      </c>
      <c r="B443" s="26">
        <f>'Data Input'!B45</f>
        <v>4.5211999999999994</v>
      </c>
      <c r="C443" s="1" t="s">
        <v>56</v>
      </c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2"/>
      <c r="P443" s="120"/>
      <c r="Q443" s="102"/>
      <c r="R443" s="175"/>
      <c r="S443" s="122"/>
      <c r="T443" s="102"/>
      <c r="U443" s="28"/>
      <c r="V443" s="28"/>
      <c r="W443" s="119"/>
      <c r="X443" s="108"/>
      <c r="Y443" s="108"/>
      <c r="Z443" s="28"/>
      <c r="AA443" s="28"/>
      <c r="AB443" s="260"/>
      <c r="AC443" s="102"/>
      <c r="AD443" s="120"/>
      <c r="AE443" s="120"/>
      <c r="AF443" s="175"/>
      <c r="AG443" s="175"/>
      <c r="AH443" s="214"/>
      <c r="AI443" s="261"/>
      <c r="AJ443" s="291"/>
      <c r="AK443" s="256"/>
      <c r="AL443" s="28"/>
      <c r="AM443" s="108"/>
      <c r="AN443" s="260"/>
      <c r="AO443" s="102"/>
      <c r="AP443" s="120"/>
      <c r="AQ443" s="120"/>
      <c r="AR443" s="119"/>
      <c r="AS443" s="123"/>
      <c r="AT443" s="123"/>
      <c r="AU443" s="124"/>
      <c r="AV443" s="124"/>
      <c r="AW443" s="108"/>
      <c r="AX443" s="102"/>
      <c r="AY443" s="102"/>
      <c r="AZ443" s="119"/>
      <c r="BA443" s="123"/>
      <c r="BB443" s="123"/>
      <c r="BC443" s="108"/>
      <c r="BD443" s="108"/>
      <c r="BE443" s="260"/>
      <c r="BF443" s="102"/>
      <c r="BG443" s="120"/>
      <c r="BH443" s="102"/>
      <c r="BI443" s="261"/>
      <c r="BJ443" s="119"/>
      <c r="BK443" s="261"/>
      <c r="BL443" s="102"/>
      <c r="BM443" s="119"/>
      <c r="BN443" s="123"/>
      <c r="BO443" s="123"/>
      <c r="BP443" s="123"/>
      <c r="BQ443" s="108"/>
      <c r="BR443" s="108"/>
      <c r="BS443" s="124"/>
      <c r="BT443" s="108"/>
      <c r="BU443" s="260"/>
      <c r="BV443" s="102"/>
      <c r="BW443" s="120"/>
      <c r="BX443" s="120"/>
      <c r="BY443" s="254"/>
      <c r="BZ443" s="254"/>
      <c r="CA443" s="253"/>
      <c r="CB443" s="256"/>
      <c r="CC443" s="256"/>
      <c r="CD443" s="257"/>
      <c r="CE443" s="255"/>
      <c r="CF443" s="255"/>
      <c r="CG443" s="126"/>
      <c r="CH443" s="209"/>
      <c r="CI443" s="256"/>
      <c r="CJ443" s="208"/>
      <c r="CK443" s="208"/>
      <c r="CL443" s="254"/>
      <c r="CM443" s="209"/>
      <c r="CN443" s="254"/>
      <c r="CO443" s="28"/>
      <c r="CP443" s="28"/>
      <c r="CQ443" s="28"/>
      <c r="CR443" s="28"/>
      <c r="CS443" s="28"/>
      <c r="CT443" s="28"/>
      <c r="CU443" s="28"/>
      <c r="CV443" s="28"/>
    </row>
    <row r="444" spans="1:100" ht="12" customHeight="1" x14ac:dyDescent="0.2">
      <c r="A444" s="1" t="s">
        <v>74</v>
      </c>
      <c r="B444" s="1">
        <f>'Data Input'!B47</f>
        <v>0.30000000000000004</v>
      </c>
      <c r="C444" s="1" t="s">
        <v>56</v>
      </c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2"/>
      <c r="P444" s="120"/>
      <c r="Q444" s="102"/>
      <c r="R444" s="175"/>
      <c r="S444" s="122"/>
      <c r="T444" s="102"/>
      <c r="U444" s="28"/>
      <c r="V444" s="28"/>
      <c r="W444" s="119"/>
      <c r="X444" s="108"/>
      <c r="Y444" s="108"/>
      <c r="Z444" s="28"/>
      <c r="AA444" s="28"/>
      <c r="AB444" s="260"/>
      <c r="AC444" s="102"/>
      <c r="AD444" s="120"/>
      <c r="AE444" s="120"/>
      <c r="AF444" s="175"/>
      <c r="AG444" s="175"/>
      <c r="AH444" s="214"/>
      <c r="AI444" s="261"/>
      <c r="AJ444" s="291"/>
      <c r="AK444" s="256"/>
      <c r="AL444" s="28"/>
      <c r="AM444" s="108"/>
      <c r="AN444" s="260"/>
      <c r="AO444" s="102"/>
      <c r="AP444" s="120"/>
      <c r="AQ444" s="120"/>
      <c r="AR444" s="119"/>
      <c r="AS444" s="123"/>
      <c r="AT444" s="123"/>
      <c r="AU444" s="124"/>
      <c r="AV444" s="124"/>
      <c r="AW444" s="108"/>
      <c r="AX444" s="102"/>
      <c r="AY444" s="102"/>
      <c r="AZ444" s="119"/>
      <c r="BA444" s="123"/>
      <c r="BB444" s="123"/>
      <c r="BC444" s="108"/>
      <c r="BD444" s="108"/>
      <c r="BE444" s="260"/>
      <c r="BF444" s="102"/>
      <c r="BG444" s="120"/>
      <c r="BH444" s="102"/>
      <c r="BI444" s="261"/>
      <c r="BJ444" s="119"/>
      <c r="BK444" s="261"/>
      <c r="BL444" s="102"/>
      <c r="BM444" s="119"/>
      <c r="BN444" s="123"/>
      <c r="BO444" s="123"/>
      <c r="BP444" s="123"/>
      <c r="BQ444" s="108"/>
      <c r="BR444" s="108"/>
      <c r="BS444" s="124"/>
      <c r="BT444" s="108"/>
      <c r="BU444" s="260"/>
      <c r="BV444" s="102"/>
      <c r="BW444" s="120"/>
      <c r="BX444" s="120"/>
      <c r="BY444" s="254"/>
      <c r="BZ444" s="254"/>
      <c r="CA444" s="253"/>
      <c r="CB444" s="256"/>
      <c r="CC444" s="256"/>
      <c r="CD444" s="257"/>
      <c r="CE444" s="255"/>
      <c r="CF444" s="255"/>
      <c r="CG444" s="126"/>
      <c r="CH444" s="209"/>
      <c r="CI444" s="256"/>
      <c r="CJ444" s="208"/>
      <c r="CK444" s="208"/>
      <c r="CL444" s="254"/>
      <c r="CM444" s="209"/>
      <c r="CN444" s="254"/>
      <c r="CO444" s="28"/>
      <c r="CP444" s="28"/>
      <c r="CQ444" s="28"/>
      <c r="CR444" s="28"/>
      <c r="CS444" s="28"/>
      <c r="CT444" s="28"/>
      <c r="CU444" s="28"/>
      <c r="CV444" s="28"/>
    </row>
    <row r="445" spans="1:100" ht="12" customHeight="1" x14ac:dyDescent="0.2">
      <c r="A445" s="1" t="s">
        <v>76</v>
      </c>
      <c r="B445" s="1">
        <f>'Data Input'!B48</f>
        <v>0.05</v>
      </c>
      <c r="C445" s="1" t="s">
        <v>56</v>
      </c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2"/>
      <c r="P445" s="120"/>
      <c r="Q445" s="102"/>
      <c r="R445" s="175"/>
      <c r="S445" s="122"/>
      <c r="T445" s="102"/>
      <c r="U445" s="28"/>
      <c r="V445" s="28"/>
      <c r="W445" s="119"/>
      <c r="X445" s="108"/>
      <c r="Y445" s="108"/>
      <c r="Z445" s="28"/>
      <c r="AA445" s="28"/>
      <c r="AB445" s="260"/>
      <c r="AC445" s="102"/>
      <c r="AD445" s="120"/>
      <c r="AE445" s="120"/>
      <c r="AF445" s="175"/>
      <c r="AG445" s="175"/>
      <c r="AH445" s="214"/>
      <c r="AI445" s="261"/>
      <c r="AJ445" s="291"/>
      <c r="AK445" s="256"/>
      <c r="AL445" s="28"/>
      <c r="AM445" s="108"/>
      <c r="AN445" s="260"/>
      <c r="AO445" s="102"/>
      <c r="AP445" s="120"/>
      <c r="AQ445" s="120"/>
      <c r="AR445" s="119"/>
      <c r="AS445" s="123"/>
      <c r="AT445" s="123"/>
      <c r="AU445" s="124"/>
      <c r="AV445" s="124"/>
      <c r="AW445" s="108"/>
      <c r="AX445" s="102"/>
      <c r="AY445" s="102"/>
      <c r="AZ445" s="119"/>
      <c r="BA445" s="123"/>
      <c r="BB445" s="123"/>
      <c r="BC445" s="108"/>
      <c r="BD445" s="108"/>
      <c r="BE445" s="260"/>
      <c r="BF445" s="102"/>
      <c r="BG445" s="120"/>
      <c r="BH445" s="102"/>
      <c r="BI445" s="261"/>
      <c r="BJ445" s="119"/>
      <c r="BK445" s="261"/>
      <c r="BL445" s="102"/>
      <c r="BM445" s="119"/>
      <c r="BN445" s="123"/>
      <c r="BO445" s="123"/>
      <c r="BP445" s="123"/>
      <c r="BQ445" s="108"/>
      <c r="BR445" s="108"/>
      <c r="BS445" s="124"/>
      <c r="BT445" s="108"/>
      <c r="BU445" s="260"/>
      <c r="BV445" s="102"/>
      <c r="BW445" s="120"/>
      <c r="BX445" s="120"/>
      <c r="BY445" s="254"/>
      <c r="BZ445" s="254"/>
      <c r="CA445" s="253"/>
      <c r="CB445" s="256"/>
      <c r="CC445" s="256"/>
      <c r="CD445" s="257"/>
      <c r="CE445" s="255"/>
      <c r="CF445" s="255"/>
      <c r="CG445" s="126"/>
      <c r="CH445" s="209"/>
      <c r="CI445" s="256"/>
      <c r="CJ445" s="208"/>
      <c r="CK445" s="208"/>
      <c r="CL445" s="254"/>
      <c r="CM445" s="209"/>
      <c r="CN445" s="254"/>
      <c r="CO445" s="28"/>
      <c r="CP445" s="28"/>
      <c r="CQ445" s="28"/>
      <c r="CR445" s="28"/>
      <c r="CS445" s="28"/>
      <c r="CT445" s="28"/>
      <c r="CU445" s="28"/>
      <c r="CV445" s="28"/>
    </row>
    <row r="446" spans="1:100" ht="12" customHeight="1" x14ac:dyDescent="0.2">
      <c r="A446" s="36"/>
      <c r="B446" s="12"/>
      <c r="C446" s="165"/>
      <c r="D446" s="287"/>
      <c r="E446" s="26"/>
      <c r="F446" s="118"/>
      <c r="G446" s="1"/>
      <c r="H446" s="102"/>
      <c r="I446" s="119"/>
      <c r="J446" s="123"/>
      <c r="K446" s="123"/>
      <c r="L446" s="108"/>
      <c r="M446" s="108"/>
      <c r="N446" s="260"/>
      <c r="O446" s="102"/>
      <c r="P446" s="120"/>
      <c r="Q446" s="102"/>
      <c r="R446" s="175"/>
      <c r="S446" s="122"/>
      <c r="T446" s="102"/>
      <c r="U446" s="28"/>
      <c r="V446" s="28"/>
      <c r="W446" s="119"/>
      <c r="X446" s="108"/>
      <c r="Y446" s="108"/>
      <c r="Z446" s="28"/>
      <c r="AA446" s="28"/>
      <c r="AB446" s="260"/>
      <c r="AC446" s="102"/>
      <c r="AD446" s="120"/>
      <c r="AE446" s="120"/>
      <c r="AF446" s="175"/>
      <c r="AG446" s="175"/>
      <c r="AH446" s="214"/>
      <c r="AI446" s="261"/>
      <c r="AJ446" s="291"/>
      <c r="AK446" s="256"/>
      <c r="AL446" s="28"/>
      <c r="AM446" s="108"/>
      <c r="AN446" s="260"/>
      <c r="AO446" s="102"/>
      <c r="AP446" s="120"/>
      <c r="AQ446" s="120"/>
      <c r="AR446" s="119"/>
      <c r="AS446" s="123"/>
      <c r="AT446" s="123"/>
      <c r="AU446" s="124"/>
      <c r="AV446" s="124"/>
      <c r="AW446" s="108"/>
      <c r="AX446" s="102"/>
      <c r="AY446" s="102"/>
      <c r="AZ446" s="119"/>
      <c r="BA446" s="123"/>
      <c r="BB446" s="123"/>
      <c r="BC446" s="108"/>
      <c r="BD446" s="108"/>
      <c r="BE446" s="260"/>
      <c r="BF446" s="102"/>
      <c r="BG446" s="120"/>
      <c r="BH446" s="102"/>
      <c r="BI446" s="261"/>
      <c r="BJ446" s="119"/>
      <c r="BK446" s="261"/>
      <c r="BL446" s="102"/>
      <c r="BM446" s="119"/>
      <c r="BN446" s="123"/>
      <c r="BO446" s="123"/>
      <c r="BP446" s="123"/>
      <c r="BQ446" s="108"/>
      <c r="BR446" s="108"/>
      <c r="BS446" s="124"/>
      <c r="BT446" s="108"/>
      <c r="BU446" s="260"/>
      <c r="BV446" s="102"/>
      <c r="BW446" s="120"/>
      <c r="BX446" s="120"/>
      <c r="BY446" s="254"/>
      <c r="BZ446" s="254"/>
      <c r="CA446" s="253"/>
      <c r="CB446" s="256"/>
      <c r="CC446" s="256"/>
      <c r="CD446" s="257"/>
      <c r="CE446" s="255"/>
      <c r="CF446" s="255"/>
      <c r="CG446" s="126"/>
      <c r="CH446" s="209"/>
      <c r="CI446" s="256"/>
      <c r="CJ446" s="208"/>
      <c r="CK446" s="208"/>
      <c r="CL446" s="254"/>
      <c r="CM446" s="209"/>
      <c r="CN446" s="254"/>
      <c r="CO446" s="28"/>
      <c r="CP446" s="28"/>
      <c r="CQ446" s="28"/>
      <c r="CR446" s="28"/>
      <c r="CS446" s="28"/>
      <c r="CT446" s="28"/>
      <c r="CU446" s="28"/>
      <c r="CV446" s="28"/>
    </row>
    <row r="447" spans="1:100" ht="12" customHeight="1" x14ac:dyDescent="0.2">
      <c r="A447" s="187" t="s">
        <v>502</v>
      </c>
      <c r="B447" s="14"/>
      <c r="E447" s="119"/>
      <c r="F447" s="118"/>
      <c r="G447" s="14"/>
      <c r="H447" s="1"/>
      <c r="I447" s="102"/>
      <c r="J447" s="119"/>
      <c r="K447" s="108"/>
      <c r="L447" s="108"/>
      <c r="M447" s="260"/>
      <c r="N447" s="102"/>
      <c r="O447" s="120"/>
      <c r="P447" s="120"/>
      <c r="Q447" s="175"/>
      <c r="R447" s="175"/>
      <c r="S447" s="104"/>
      <c r="T447" s="14"/>
      <c r="U447" s="14"/>
      <c r="V447" s="175"/>
      <c r="W447" s="14"/>
      <c r="X447" s="9" t="s">
        <v>412</v>
      </c>
      <c r="AI447" s="1"/>
      <c r="AJ447" s="1"/>
      <c r="AK447" s="1"/>
      <c r="AL447" s="1"/>
      <c r="AM447" s="1"/>
      <c r="AU447" s="1"/>
      <c r="AV447" s="1"/>
      <c r="AW447" s="1"/>
      <c r="AZ447" s="1"/>
      <c r="BB447" s="215" t="s">
        <v>413</v>
      </c>
      <c r="BC447" s="216"/>
      <c r="BK447" s="261"/>
      <c r="BL447" s="102"/>
      <c r="BM447" s="119"/>
      <c r="BN447" s="123"/>
      <c r="BO447" s="123"/>
      <c r="BP447" s="123"/>
      <c r="BQ447" s="108"/>
      <c r="BR447" s="108"/>
      <c r="BS447" s="124"/>
      <c r="BT447" s="108"/>
      <c r="BU447" s="260"/>
      <c r="BV447" s="102"/>
      <c r="BW447" s="120"/>
      <c r="BX447" s="120"/>
      <c r="BY447" s="254"/>
      <c r="BZ447" s="254"/>
      <c r="CA447" s="253"/>
      <c r="CB447" s="256"/>
      <c r="CC447" s="256"/>
      <c r="CD447" s="257"/>
      <c r="CE447" s="255"/>
      <c r="CF447" s="255"/>
      <c r="CG447" s="126"/>
      <c r="CH447" s="209"/>
      <c r="CI447" s="256"/>
      <c r="CJ447" s="208"/>
      <c r="CK447" s="208"/>
      <c r="CL447" s="254"/>
      <c r="CM447" s="209"/>
      <c r="CN447" s="254"/>
      <c r="CO447" s="28"/>
      <c r="CP447" s="28"/>
      <c r="CQ447" s="28"/>
      <c r="CR447" s="28"/>
      <c r="CS447" s="28"/>
      <c r="CT447" s="28"/>
      <c r="CU447" s="28"/>
      <c r="CV447" s="28"/>
    </row>
    <row r="448" spans="1:100" ht="12" customHeight="1" x14ac:dyDescent="0.2">
      <c r="A448" s="187"/>
      <c r="B448" s="258"/>
      <c r="E448" s="262"/>
      <c r="F448" s="118"/>
      <c r="G448" s="109"/>
      <c r="H448" s="112"/>
      <c r="I448" s="112" t="s">
        <v>195</v>
      </c>
      <c r="J448" s="263" t="s">
        <v>444</v>
      </c>
      <c r="K448" s="264"/>
      <c r="L448" s="264"/>
      <c r="M448" s="246"/>
      <c r="N448" s="263"/>
      <c r="O448" s="235"/>
      <c r="P448" s="235"/>
      <c r="Q448" s="265"/>
      <c r="R448" s="265"/>
      <c r="S448" s="266"/>
      <c r="T448" s="217"/>
      <c r="U448" s="217"/>
      <c r="V448" s="265"/>
      <c r="W448" s="217"/>
      <c r="X448" s="109" t="s">
        <v>415</v>
      </c>
      <c r="AC448" s="109" t="s">
        <v>416</v>
      </c>
      <c r="AG448" s="1"/>
      <c r="AH448" s="109" t="s">
        <v>445</v>
      </c>
      <c r="AI448" s="1"/>
      <c r="AJ448" s="219" t="s">
        <v>418</v>
      </c>
      <c r="AK448" s="217"/>
      <c r="AL448" s="217"/>
      <c r="AM448" s="109" t="s">
        <v>445</v>
      </c>
      <c r="AQ448" s="1"/>
      <c r="AR448" s="109" t="s">
        <v>416</v>
      </c>
      <c r="AV448" s="1"/>
      <c r="AW448" s="109" t="s">
        <v>445</v>
      </c>
      <c r="BB448" s="217"/>
      <c r="BC448" s="220"/>
      <c r="BK448" s="261"/>
      <c r="BL448" s="102"/>
      <c r="BM448" s="119"/>
      <c r="BN448" s="123"/>
      <c r="BO448" s="123"/>
      <c r="BP448" s="123"/>
      <c r="BQ448" s="108"/>
      <c r="BR448" s="108"/>
      <c r="BS448" s="124"/>
      <c r="BT448" s="108"/>
      <c r="BU448" s="260"/>
      <c r="BV448" s="102"/>
      <c r="BW448" s="120"/>
      <c r="BX448" s="120"/>
      <c r="BY448" s="254"/>
      <c r="BZ448" s="254"/>
      <c r="CA448" s="253"/>
      <c r="CB448" s="256"/>
      <c r="CC448" s="256"/>
      <c r="CD448" s="257"/>
      <c r="CE448" s="255"/>
      <c r="CF448" s="255"/>
      <c r="CG448" s="126"/>
      <c r="CH448" s="209"/>
      <c r="CI448" s="256"/>
      <c r="CJ448" s="208"/>
      <c r="CK448" s="208"/>
      <c r="CL448" s="254"/>
      <c r="CM448" s="209"/>
      <c r="CN448" s="254"/>
      <c r="CO448" s="28"/>
      <c r="CP448" s="28"/>
      <c r="CQ448" s="28"/>
      <c r="CR448" s="28"/>
      <c r="CS448" s="28"/>
      <c r="CT448" s="28"/>
      <c r="CU448" s="28"/>
      <c r="CV448" s="28"/>
    </row>
    <row r="449" spans="1:100" ht="12" customHeight="1" x14ac:dyDescent="0.2">
      <c r="A449" s="200" t="s">
        <v>350</v>
      </c>
      <c r="B449" s="112" t="s">
        <v>426</v>
      </c>
      <c r="C449" s="227" t="s">
        <v>426</v>
      </c>
      <c r="D449" s="227" t="s">
        <v>426</v>
      </c>
      <c r="E449" s="262" t="s">
        <v>446</v>
      </c>
      <c r="F449" s="112" t="s">
        <v>194</v>
      </c>
      <c r="G449" s="109"/>
      <c r="H449" s="112"/>
      <c r="I449" s="112" t="s">
        <v>243</v>
      </c>
      <c r="J449" s="225" t="s">
        <v>197</v>
      </c>
      <c r="K449" s="225"/>
      <c r="L449" s="225"/>
      <c r="M449" s="225"/>
      <c r="N449" s="225"/>
      <c r="O449" s="217"/>
      <c r="P449" s="225" t="s">
        <v>199</v>
      </c>
      <c r="Q449" s="229"/>
      <c r="R449" s="225" t="s">
        <v>200</v>
      </c>
      <c r="S449" s="225"/>
      <c r="T449" s="225" t="s">
        <v>447</v>
      </c>
      <c r="U449" s="225" t="s">
        <v>257</v>
      </c>
      <c r="V449" s="225" t="s">
        <v>205</v>
      </c>
      <c r="W449" s="225" t="s">
        <v>438</v>
      </c>
      <c r="X449" s="109" t="s">
        <v>416</v>
      </c>
      <c r="AB449" s="225" t="s">
        <v>177</v>
      </c>
      <c r="AC449" s="109" t="s">
        <v>424</v>
      </c>
      <c r="AF449" s="137"/>
      <c r="AG449" s="225" t="s">
        <v>177</v>
      </c>
      <c r="AH449" s="109" t="s">
        <v>416</v>
      </c>
      <c r="AI449" s="225" t="s">
        <v>177</v>
      </c>
      <c r="AJ449" s="218"/>
      <c r="AK449" s="217"/>
      <c r="AL449" s="225" t="s">
        <v>180</v>
      </c>
      <c r="AM449" s="109" t="s">
        <v>416</v>
      </c>
      <c r="AP449" s="137"/>
      <c r="AQ449" s="225" t="s">
        <v>177</v>
      </c>
      <c r="AR449" s="109" t="s">
        <v>424</v>
      </c>
      <c r="AU449" s="137"/>
      <c r="AV449" s="225" t="s">
        <v>177</v>
      </c>
      <c r="AW449" s="109" t="s">
        <v>416</v>
      </c>
      <c r="AZ449" s="137"/>
      <c r="BA449" s="226" t="s">
        <v>448</v>
      </c>
      <c r="BB449" s="217"/>
      <c r="BC449" s="220"/>
      <c r="BK449" s="261"/>
      <c r="BL449" s="102"/>
      <c r="BM449" s="119"/>
      <c r="BN449" s="123"/>
      <c r="BO449" s="123"/>
      <c r="BP449" s="123"/>
      <c r="BQ449" s="108"/>
      <c r="BR449" s="108"/>
      <c r="BS449" s="124"/>
      <c r="BT449" s="108"/>
      <c r="BU449" s="260"/>
      <c r="BV449" s="102"/>
      <c r="BW449" s="120"/>
      <c r="BX449" s="120"/>
      <c r="BY449" s="254"/>
      <c r="BZ449" s="254"/>
      <c r="CA449" s="253"/>
      <c r="CB449" s="256"/>
      <c r="CC449" s="256"/>
      <c r="CD449" s="257"/>
      <c r="CE449" s="255"/>
      <c r="CF449" s="255"/>
      <c r="CG449" s="126"/>
      <c r="CH449" s="209"/>
      <c r="CI449" s="256"/>
      <c r="CJ449" s="208"/>
      <c r="CK449" s="208"/>
      <c r="CL449" s="254"/>
      <c r="CM449" s="209"/>
      <c r="CN449" s="254"/>
      <c r="CO449" s="28"/>
      <c r="CP449" s="28"/>
      <c r="CQ449" s="28"/>
      <c r="CR449" s="28"/>
      <c r="CS449" s="28"/>
      <c r="CT449" s="28"/>
      <c r="CU449" s="28"/>
      <c r="CV449" s="28"/>
    </row>
    <row r="450" spans="1:100" ht="12" customHeight="1" x14ac:dyDescent="0.2">
      <c r="A450" s="204" t="s">
        <v>352</v>
      </c>
      <c r="B450" s="112" t="s">
        <v>214</v>
      </c>
      <c r="C450" s="227" t="s">
        <v>433</v>
      </c>
      <c r="D450" s="227" t="s">
        <v>432</v>
      </c>
      <c r="E450" s="262" t="s">
        <v>47</v>
      </c>
      <c r="F450" s="115" t="s">
        <v>243</v>
      </c>
      <c r="G450" s="115" t="s">
        <v>244</v>
      </c>
      <c r="H450" s="115" t="s">
        <v>245</v>
      </c>
      <c r="I450" s="112" t="s">
        <v>61</v>
      </c>
      <c r="J450" s="225" t="s">
        <v>247</v>
      </c>
      <c r="K450" s="229" t="s">
        <v>248</v>
      </c>
      <c r="L450" s="229" t="s">
        <v>249</v>
      </c>
      <c r="M450" s="225" t="s">
        <v>250</v>
      </c>
      <c r="N450" s="229" t="s">
        <v>251</v>
      </c>
      <c r="O450" s="229" t="s">
        <v>252</v>
      </c>
      <c r="P450" s="229" t="s">
        <v>253</v>
      </c>
      <c r="Q450" s="229" t="s">
        <v>254</v>
      </c>
      <c r="R450" s="225" t="s">
        <v>255</v>
      </c>
      <c r="S450" s="225" t="s">
        <v>256</v>
      </c>
      <c r="T450" s="225" t="s">
        <v>257</v>
      </c>
      <c r="U450" s="225" t="s">
        <v>260</v>
      </c>
      <c r="V450" s="225" t="s">
        <v>262</v>
      </c>
      <c r="W450" s="225" t="s">
        <v>449</v>
      </c>
      <c r="X450" s="109" t="s">
        <v>424</v>
      </c>
      <c r="Y450" s="131" t="s">
        <v>450</v>
      </c>
      <c r="Z450" s="131" t="s">
        <v>431</v>
      </c>
      <c r="AA450" s="131" t="s">
        <v>361</v>
      </c>
      <c r="AB450" s="225" t="s">
        <v>430</v>
      </c>
      <c r="AC450" s="109" t="s">
        <v>196</v>
      </c>
      <c r="AD450" s="131" t="s">
        <v>450</v>
      </c>
      <c r="AE450" s="131" t="s">
        <v>431</v>
      </c>
      <c r="AF450" s="131" t="s">
        <v>361</v>
      </c>
      <c r="AG450" s="225" t="s">
        <v>430</v>
      </c>
      <c r="AH450" s="109" t="s">
        <v>424</v>
      </c>
      <c r="AI450" s="225" t="s">
        <v>430</v>
      </c>
      <c r="AJ450" s="225" t="s">
        <v>432</v>
      </c>
      <c r="AK450" s="225" t="s">
        <v>196</v>
      </c>
      <c r="AL450" s="225" t="s">
        <v>196</v>
      </c>
      <c r="AM450" s="109" t="s">
        <v>424</v>
      </c>
      <c r="AN450" s="131" t="s">
        <v>450</v>
      </c>
      <c r="AO450" s="131" t="s">
        <v>431</v>
      </c>
      <c r="AP450" s="131" t="s">
        <v>361</v>
      </c>
      <c r="AQ450" s="225" t="s">
        <v>430</v>
      </c>
      <c r="AR450" s="109" t="s">
        <v>196</v>
      </c>
      <c r="AS450" s="131" t="s">
        <v>450</v>
      </c>
      <c r="AT450" s="131" t="s">
        <v>431</v>
      </c>
      <c r="AU450" s="131" t="s">
        <v>361</v>
      </c>
      <c r="AV450" s="225" t="s">
        <v>430</v>
      </c>
      <c r="AW450" s="109" t="s">
        <v>424</v>
      </c>
      <c r="AX450" s="131" t="s">
        <v>450</v>
      </c>
      <c r="AY450" s="131" t="s">
        <v>431</v>
      </c>
      <c r="AZ450" s="131" t="s">
        <v>361</v>
      </c>
      <c r="BA450" s="226" t="s">
        <v>205</v>
      </c>
      <c r="BB450" s="225" t="s">
        <v>432</v>
      </c>
      <c r="BC450" s="218"/>
      <c r="BK450" s="261"/>
      <c r="BL450" s="102"/>
      <c r="BM450" s="119"/>
      <c r="BN450" s="123"/>
      <c r="BO450" s="123"/>
      <c r="BP450" s="123"/>
      <c r="BQ450" s="108"/>
      <c r="BR450" s="108"/>
      <c r="BS450" s="124"/>
      <c r="BT450" s="108"/>
      <c r="BU450" s="260"/>
      <c r="BV450" s="102"/>
      <c r="BW450" s="120"/>
      <c r="BX450" s="120"/>
      <c r="BY450" s="254"/>
      <c r="BZ450" s="254"/>
      <c r="CA450" s="253"/>
      <c r="CB450" s="256"/>
      <c r="CC450" s="256"/>
      <c r="CD450" s="257"/>
      <c r="CE450" s="255"/>
      <c r="CF450" s="255"/>
      <c r="CG450" s="126"/>
      <c r="CH450" s="209"/>
      <c r="CI450" s="256"/>
      <c r="CJ450" s="208"/>
      <c r="CK450" s="208"/>
      <c r="CL450" s="254"/>
      <c r="CM450" s="209"/>
      <c r="CN450" s="254"/>
      <c r="CO450" s="28"/>
      <c r="CP450" s="28"/>
      <c r="CQ450" s="28"/>
      <c r="CR450" s="28"/>
      <c r="CS450" s="28"/>
      <c r="CT450" s="28"/>
      <c r="CU450" s="28"/>
      <c r="CV450" s="28"/>
    </row>
    <row r="451" spans="1:100" ht="12" customHeight="1" x14ac:dyDescent="0.2">
      <c r="A451" s="204" t="s">
        <v>354</v>
      </c>
      <c r="B451" s="112" t="s">
        <v>47</v>
      </c>
      <c r="C451" s="227" t="s">
        <v>317</v>
      </c>
      <c r="D451" s="227" t="s">
        <v>90</v>
      </c>
      <c r="E451" s="109"/>
      <c r="F451" s="115" t="s">
        <v>61</v>
      </c>
      <c r="G451" s="115" t="s">
        <v>271</v>
      </c>
      <c r="H451" s="115" t="s">
        <v>272</v>
      </c>
      <c r="I451" s="227"/>
      <c r="J451" s="229" t="s">
        <v>274</v>
      </c>
      <c r="K451" s="229" t="s">
        <v>275</v>
      </c>
      <c r="L451" s="229" t="s">
        <v>276</v>
      </c>
      <c r="M451" s="225" t="s">
        <v>277</v>
      </c>
      <c r="N451" s="229" t="s">
        <v>278</v>
      </c>
      <c r="O451" s="229" t="s">
        <v>279</v>
      </c>
      <c r="P451" s="229" t="s">
        <v>280</v>
      </c>
      <c r="Q451" s="229" t="s">
        <v>278</v>
      </c>
      <c r="R451" s="225" t="s">
        <v>281</v>
      </c>
      <c r="S451" s="225" t="s">
        <v>282</v>
      </c>
      <c r="T451" s="225" t="s">
        <v>283</v>
      </c>
      <c r="U451" s="225"/>
      <c r="V451" s="225" t="s">
        <v>285</v>
      </c>
      <c r="W451" s="225" t="s">
        <v>451</v>
      </c>
      <c r="X451" s="109" t="s">
        <v>196</v>
      </c>
      <c r="Y451" s="137" t="s">
        <v>437</v>
      </c>
      <c r="Z451" s="137" t="s">
        <v>437</v>
      </c>
      <c r="AA451" s="137" t="s">
        <v>437</v>
      </c>
      <c r="AB451" s="225" t="s">
        <v>452</v>
      </c>
      <c r="AC451" s="227" t="s">
        <v>439</v>
      </c>
      <c r="AD451" s="137" t="s">
        <v>437</v>
      </c>
      <c r="AE451" s="137" t="s">
        <v>437</v>
      </c>
      <c r="AF451" s="137" t="s">
        <v>437</v>
      </c>
      <c r="AG451" s="225" t="s">
        <v>452</v>
      </c>
      <c r="AH451" s="109" t="s">
        <v>196</v>
      </c>
      <c r="AI451" s="225" t="s">
        <v>452</v>
      </c>
      <c r="AJ451" s="225"/>
      <c r="AK451" s="225"/>
      <c r="AL451" s="225" t="s">
        <v>13</v>
      </c>
      <c r="AM451" s="109" t="s">
        <v>196</v>
      </c>
      <c r="AN451" s="137" t="s">
        <v>437</v>
      </c>
      <c r="AO451" s="137" t="s">
        <v>437</v>
      </c>
      <c r="AP451" s="137" t="s">
        <v>437</v>
      </c>
      <c r="AQ451" s="225" t="s">
        <v>452</v>
      </c>
      <c r="AR451" s="227" t="s">
        <v>439</v>
      </c>
      <c r="AS451" s="137" t="s">
        <v>437</v>
      </c>
      <c r="AT451" s="137" t="s">
        <v>437</v>
      </c>
      <c r="AU451" s="137" t="s">
        <v>437</v>
      </c>
      <c r="AV451" s="225" t="s">
        <v>452</v>
      </c>
      <c r="AW451" s="109" t="s">
        <v>196</v>
      </c>
      <c r="AX451" s="137" t="s">
        <v>437</v>
      </c>
      <c r="AY451" s="137" t="s">
        <v>437</v>
      </c>
      <c r="AZ451" s="137" t="s">
        <v>437</v>
      </c>
      <c r="BA451" s="225" t="s">
        <v>438</v>
      </c>
      <c r="BB451" s="225"/>
      <c r="BC451" s="228" t="s">
        <v>196</v>
      </c>
      <c r="BK451" s="261"/>
      <c r="BL451" s="102"/>
      <c r="BM451" s="119"/>
      <c r="BN451" s="123"/>
      <c r="BO451" s="123"/>
      <c r="BP451" s="123"/>
      <c r="BQ451" s="108"/>
      <c r="BR451" s="108"/>
      <c r="BS451" s="124"/>
      <c r="BT451" s="108"/>
      <c r="BU451" s="260"/>
      <c r="BV451" s="102"/>
      <c r="BW451" s="120"/>
      <c r="BX451" s="120"/>
      <c r="BY451" s="254"/>
      <c r="BZ451" s="254"/>
      <c r="CA451" s="253"/>
      <c r="CB451" s="256"/>
      <c r="CC451" s="256"/>
      <c r="CD451" s="257"/>
      <c r="CE451" s="255"/>
      <c r="CF451" s="255"/>
      <c r="CG451" s="126"/>
      <c r="CH451" s="209"/>
      <c r="CI451" s="256"/>
      <c r="CJ451" s="208"/>
      <c r="CK451" s="208"/>
      <c r="CL451" s="254"/>
      <c r="CM451" s="209"/>
      <c r="CN451" s="254"/>
      <c r="CO451" s="28"/>
      <c r="CP451" s="28"/>
      <c r="CQ451" s="28"/>
      <c r="CR451" s="28"/>
      <c r="CS451" s="28"/>
      <c r="CT451" s="28"/>
      <c r="CU451" s="28"/>
      <c r="CV451" s="28"/>
    </row>
    <row r="452" spans="1:100" ht="12" customHeight="1" x14ac:dyDescent="0.2">
      <c r="A452" s="204"/>
      <c r="B452" s="112"/>
      <c r="C452" s="227"/>
      <c r="D452" s="227"/>
      <c r="E452" s="109"/>
      <c r="F452" s="115"/>
      <c r="G452" s="115"/>
      <c r="H452" s="115"/>
      <c r="I452" s="267">
        <f>B442</f>
        <v>0.30322580645161296</v>
      </c>
      <c r="J452" s="229"/>
      <c r="K452" s="229"/>
      <c r="L452" s="229"/>
      <c r="M452" s="225"/>
      <c r="N452" s="229"/>
      <c r="O452" s="229"/>
      <c r="P452" s="229"/>
      <c r="Q452" s="229"/>
      <c r="R452" s="225"/>
      <c r="S452" s="235">
        <f>IF(AF289&lt;2500,($B$443/1000/$I452)^0.333333,1+($B$443/1000/I452)^0.7)</f>
        <v>1.0526552029981915</v>
      </c>
      <c r="T452" s="235">
        <v>1</v>
      </c>
      <c r="U452" s="225"/>
      <c r="V452" s="225"/>
      <c r="W452" s="225"/>
      <c r="X452" s="109" t="s">
        <v>273</v>
      </c>
      <c r="Y452" s="137" t="s">
        <v>286</v>
      </c>
      <c r="Z452" s="137" t="s">
        <v>286</v>
      </c>
      <c r="AA452" s="137" t="s">
        <v>286</v>
      </c>
      <c r="AB452" s="225" t="s">
        <v>286</v>
      </c>
      <c r="AC452" s="109" t="s">
        <v>273</v>
      </c>
      <c r="AD452" s="137" t="s">
        <v>286</v>
      </c>
      <c r="AE452" s="137" t="s">
        <v>286</v>
      </c>
      <c r="AF452" s="137" t="s">
        <v>286</v>
      </c>
      <c r="AG452" s="225" t="s">
        <v>286</v>
      </c>
      <c r="AH452" s="109" t="s">
        <v>273</v>
      </c>
      <c r="AI452" s="225" t="s">
        <v>286</v>
      </c>
      <c r="AJ452" s="225" t="s">
        <v>90</v>
      </c>
      <c r="AK452" s="225" t="s">
        <v>13</v>
      </c>
      <c r="AL452" s="235">
        <f>B453</f>
        <v>195.61888932471572</v>
      </c>
      <c r="AM452" s="109" t="s">
        <v>273</v>
      </c>
      <c r="AN452" s="137" t="s">
        <v>286</v>
      </c>
      <c r="AO452" s="137" t="s">
        <v>286</v>
      </c>
      <c r="AP452" s="137" t="s">
        <v>286</v>
      </c>
      <c r="AQ452" s="225" t="s">
        <v>286</v>
      </c>
      <c r="AR452" s="109" t="s">
        <v>273</v>
      </c>
      <c r="AS452" s="137" t="s">
        <v>286</v>
      </c>
      <c r="AT452" s="137" t="s">
        <v>286</v>
      </c>
      <c r="AU452" s="137" t="s">
        <v>286</v>
      </c>
      <c r="AV452" s="225" t="s">
        <v>286</v>
      </c>
      <c r="AW452" s="109" t="s">
        <v>273</v>
      </c>
      <c r="AX452" s="137" t="s">
        <v>286</v>
      </c>
      <c r="AY452" s="137" t="s">
        <v>286</v>
      </c>
      <c r="AZ452" s="137" t="s">
        <v>286</v>
      </c>
      <c r="BA452" s="225" t="s">
        <v>286</v>
      </c>
      <c r="BB452" s="225" t="s">
        <v>90</v>
      </c>
      <c r="BC452" s="228" t="s">
        <v>13</v>
      </c>
      <c r="BK452" s="261"/>
      <c r="BL452" s="102"/>
      <c r="BM452" s="119"/>
      <c r="BN452" s="123"/>
      <c r="BO452" s="123"/>
      <c r="BP452" s="123"/>
      <c r="BQ452" s="108"/>
      <c r="BR452" s="108"/>
      <c r="BS452" s="124"/>
      <c r="BT452" s="108"/>
      <c r="BU452" s="260"/>
      <c r="BV452" s="102"/>
      <c r="BW452" s="120"/>
      <c r="BX452" s="120"/>
      <c r="BY452" s="254"/>
      <c r="BZ452" s="254"/>
      <c r="CA452" s="253"/>
      <c r="CB452" s="256"/>
      <c r="CC452" s="256"/>
      <c r="CD452" s="257"/>
      <c r="CE452" s="255"/>
      <c r="CF452" s="255"/>
      <c r="CG452" s="126"/>
      <c r="CH452" s="209"/>
      <c r="CI452" s="256"/>
      <c r="CJ452" s="208"/>
      <c r="CK452" s="208"/>
      <c r="CL452" s="254"/>
      <c r="CM452" s="209"/>
      <c r="CN452" s="254"/>
      <c r="CO452" s="28"/>
      <c r="CP452" s="28"/>
      <c r="CQ452" s="28"/>
      <c r="CR452" s="28"/>
      <c r="CS452" s="28"/>
      <c r="CT452" s="28"/>
      <c r="CU452" s="28"/>
      <c r="CV452" s="28"/>
    </row>
    <row r="453" spans="1:100" ht="12" customHeight="1" x14ac:dyDescent="0.2">
      <c r="A453" s="200" t="s">
        <v>453</v>
      </c>
      <c r="B453" s="268">
        <f>C349</f>
        <v>195.61888932471572</v>
      </c>
      <c r="C453" s="269">
        <f>D289</f>
        <v>4.9876863222816166</v>
      </c>
      <c r="D453" s="270">
        <f>C348</f>
        <v>2847.4838098586138</v>
      </c>
      <c r="E453" s="262">
        <f>AW297</f>
        <v>258.01524496958211</v>
      </c>
      <c r="F453" s="161">
        <f>B428/5/1000</f>
        <v>2.0000000000000001E-4</v>
      </c>
      <c r="G453" s="118">
        <v>0</v>
      </c>
      <c r="H453" s="118">
        <f t="shared" ref="H453:H463" si="348">IF(F453=0,G453,O453*F453/B$443*1000)</f>
        <v>1.9498416990790682E-3</v>
      </c>
      <c r="I453" s="267">
        <f>I452+F453</f>
        <v>0.30342580645161293</v>
      </c>
      <c r="J453" s="235">
        <f t="shared" ref="J453:J463" si="349">IF(D453&lt;(2677.2*C453^0.0161),1/(1.7023*C453^-0.9421),1/((0.004625-(1451200*(B453+273)^-4.0097)*C453)*(B453+273)/C453))</f>
        <v>2.3738441029154229</v>
      </c>
      <c r="K453" s="243">
        <f t="shared" ref="K453:K463" si="350">B$441/J453*1000</f>
        <v>0.30212274133301004</v>
      </c>
      <c r="L453" s="243">
        <f t="shared" ref="L453:L463" si="351">K453/1000/(($B$443/1000)^2*PI()/4)</f>
        <v>18.818547406218684</v>
      </c>
      <c r="M453" s="244">
        <f t="shared" ref="M453:M463" si="352">0.00000000000025781*B453^2+0.000000041392*B453+0.0000078303</f>
        <v>1.5937222617710202E-5</v>
      </c>
      <c r="N453" s="244">
        <f t="shared" ref="N453:N463" si="353">4*B$441/PI()/M453/(B$443/1000)</f>
        <v>12672.998149891228</v>
      </c>
      <c r="O453" s="245">
        <f t="shared" ref="O453:O463" si="354">MAX(64/N453,(0.25/(LOG(B$445/3.7/B$443+5.74/N453^0.9))^2))</f>
        <v>4.4078121449381405E-2</v>
      </c>
      <c r="P453" s="244">
        <f t="shared" ref="P453:P463" si="355">$H453*J453*(L453^2)/2</f>
        <v>0.81958452054424547</v>
      </c>
      <c r="Q453" s="246">
        <f t="shared" ref="Q453:Q463" si="356">(0.00000055085*C453-0.0000000015237)*B453^2+(-0.00038915*C453-0.000099678)*B453+(0.068918*C453+0.96415)</f>
        <v>1.0137827180388044</v>
      </c>
      <c r="R453" s="235">
        <f t="shared" ref="R453:R463" si="357">(0.000000006099*C453+0.000000058342)*B453^2+(-0.000005447*C453+0.000072538)*B453+(0.001278*C453+0.01614)</f>
        <v>3.4786135712545435E-2</v>
      </c>
      <c r="S453" s="235">
        <f>IF(N453&lt;2500,($B$443/1000/$I453)^0.333333,1+($B$443/1000/I453)^0.7)</f>
        <v>1.0526309056005374</v>
      </c>
      <c r="T453" s="235">
        <f>(S453*I453-S452*I452)/(I453-I452)</f>
        <v>1.0157929156088827</v>
      </c>
      <c r="U453" s="235">
        <f>IF($F453=0,0,(IF(N453&lt;2500,1.86*N453^0.33333*Q453^0.33333*T453*'Data Input'!B$47,0.023*N453^0.8*Q453^0.4)))</f>
        <v>44.300567187548694</v>
      </c>
      <c r="V453" s="235">
        <f t="shared" ref="V453:V463" si="358">U453*R453/$B$443*1000</f>
        <v>340.84878844749323</v>
      </c>
      <c r="W453" s="271">
        <f t="shared" ref="W453:W463" si="359">V453*B$443*PI()/1000</f>
        <v>4.8413373546274761</v>
      </c>
      <c r="X453" s="247">
        <f>AH297</f>
        <v>266.43405544267625</v>
      </c>
      <c r="Y453" s="136">
        <f>0.000000056703*$B$434*$H$440*$H$439*(($B$430)^4-(X453+273)^4)*(($B$427/1000*PI()/2)*($I453-$I452))*($B$433/1000)^2*PI()/4</f>
        <v>2.7990385781864687E-2</v>
      </c>
      <c r="Z453" s="136">
        <f>0.000000056703*$H$438*(($B$431)^4-(X453+273)^4)*($B$427/1000*PI())*($I453-$I452)</f>
        <v>3.4450388444285905E-2</v>
      </c>
      <c r="AA453" s="136">
        <f t="shared" ref="AA453:AA463" si="360">Y453+Z453</f>
        <v>6.2440774226150589E-2</v>
      </c>
      <c r="AB453" s="250">
        <f t="shared" ref="AB453:AB463" si="361">$W453*($I453-$I452)*(X453-$B453)</f>
        <v>6.8568021800198914E-2</v>
      </c>
      <c r="AC453" s="247">
        <f t="shared" ref="AC453:AC463" si="362">X453+1</f>
        <v>267.43405544267625</v>
      </c>
      <c r="AD453" s="136">
        <f>0.000000056703*$B$434*$H$440*$H$439*(($B$430)^4-(AC453+273)^4)*(($B$427/1000*PI()/2)*($I453-$I452))*($B$433/1000)^2*PI()/4</f>
        <v>2.7986286334087146E-2</v>
      </c>
      <c r="AE453" s="136">
        <f>0.000000056703*$H$438*(($B$431)^4-(AC453+273)^4)*($B$427/1000*PI())*($I453-$I452)</f>
        <v>3.4443237100658226E-2</v>
      </c>
      <c r="AF453" s="136">
        <f t="shared" ref="AF453:AF463" si="363">AD453+AE453</f>
        <v>6.2429523434745372E-2</v>
      </c>
      <c r="AG453" s="250">
        <f t="shared" ref="AG453:AG463" si="364">$W453*($I453-$I452)*(AC453-$B453)</f>
        <v>6.9536289271124305E-2</v>
      </c>
      <c r="AH453" s="247">
        <f>X453+(AA453-AB453)/(AA453-AB453-(AF453-AG453))</f>
        <v>260.17868705427122</v>
      </c>
      <c r="AI453" s="250">
        <f>$W453*($I453-$I452)*(AH453-$B453)</f>
        <v>6.2511152071051346E-2</v>
      </c>
      <c r="AJ453" s="238">
        <f t="shared" ref="AJ453:AJ463" si="365">D453+AI453/1000/B$441</f>
        <v>2847.5709707959641</v>
      </c>
      <c r="AK453" s="250">
        <f>IF(AJ453&lt;(2677.2*C453^0.0161),100.55*C453^0.2536,(AJ453+9.0877*C453-2486.6)/(0.0199*C453+1.9776))</f>
        <v>195.63117118911808</v>
      </c>
      <c r="AL453" s="235">
        <f>(AL452+AK453)/2</f>
        <v>195.62503025691689</v>
      </c>
      <c r="AM453" s="247">
        <f>AH453</f>
        <v>260.17868705427122</v>
      </c>
      <c r="AN453" s="136">
        <f>0.000000056703*$B$434*$H$440*$H$439*(($B$430)^4-(AM453+273)^4)*(($B$427/1000*PI()/2)*($I453-$I452))*($B$433/1000)^2*PI()/4</f>
        <v>2.8015516757805455E-2</v>
      </c>
      <c r="AO453" s="136">
        <f>0.000000056703*$H$438*(($B$431)^4-(AM453+273)^4)*($B$427/1000*PI())*($I453-$I452)</f>
        <v>3.4494228555053005E-2</v>
      </c>
      <c r="AP453" s="136">
        <f t="shared" ref="AP453:AP463" si="366">AN453+AO453</f>
        <v>6.2509745312858467E-2</v>
      </c>
      <c r="AQ453" s="250">
        <f>$W453*($I453-$I452)*(AM453-$B453)</f>
        <v>6.2511152071051346E-2</v>
      </c>
      <c r="AR453" s="247">
        <f>AM453+1</f>
        <v>261.17868705427122</v>
      </c>
      <c r="AS453" s="136">
        <f>0.000000056703*$B$434*$H$440*$H$439*(($B$430)^4-(AR453+273)^4)*(($B$427/1000*PI()/2)*($I453-$I452))*($B$433/1000)^2*PI()/4</f>
        <v>2.801155814721195E-2</v>
      </c>
      <c r="AT453" s="136">
        <f>0.000000056703*$H$438*(($B$431)^4-(AR453+273)^4)*($B$427/1000*PI())*($I453-$I452)</f>
        <v>3.4487322896979394E-2</v>
      </c>
      <c r="AU453" s="136">
        <f t="shared" ref="AU453:AU463" si="367">AS453+AT453</f>
        <v>6.2498881044191344E-2</v>
      </c>
      <c r="AV453" s="250">
        <f>$W453*($I453-$I452)*(AR453-$B453)</f>
        <v>6.3479419541976737E-2</v>
      </c>
      <c r="AW453" s="247">
        <f>AM453+(AP453-AQ453)/(AP453-AQ453-(AU453-AV453))</f>
        <v>260.17725031380417</v>
      </c>
      <c r="AX453" s="136">
        <f>0.000000056703*$B$434*$H$440*$H$439*(($B$430)^4-(AW453+273)^4)*(($B$427/1000*PI()/2)*($I453-$I452))*($B$433/1000)^2*PI()/4</f>
        <v>2.8015522429302823E-2</v>
      </c>
      <c r="AY453" s="136">
        <f>0.000000056703*$H$438*(($B$431)^4-(AW453+273)^4)*($B$427/1000*PI())*($I453-$I452)</f>
        <v>3.4494238448782306E-2</v>
      </c>
      <c r="AZ453" s="136">
        <f t="shared" ref="AZ453:AZ463" si="368">AX453+AY453</f>
        <v>6.250976087808513E-2</v>
      </c>
      <c r="BA453" s="250">
        <f t="shared" ref="BA453:BA463" si="369">$W453*($I453-$I452)*(AW453-$B453)</f>
        <v>6.2509760921992938E-2</v>
      </c>
      <c r="BB453" s="236">
        <f t="shared" ref="BB453:BB463" si="370">D453+(BA453+AZ453)/2/1000/$B$441</f>
        <v>2847.5709688562179</v>
      </c>
      <c r="BC453" s="251">
        <f>IF(BB453&lt;(2677.2*C453^0.0161),100.55*C453^0.2536,(BB453+9.0877*C453-2486.6)/(0.0199*C453+1.9776))</f>
        <v>195.63117025513557</v>
      </c>
      <c r="BK453" s="261"/>
      <c r="BL453" s="102"/>
      <c r="BM453" s="119"/>
      <c r="BN453" s="123"/>
      <c r="BO453" s="123"/>
      <c r="BP453" s="123"/>
      <c r="BQ453" s="108"/>
      <c r="BR453" s="108"/>
      <c r="BS453" s="124"/>
      <c r="BT453" s="108"/>
      <c r="BU453" s="260"/>
      <c r="BV453" s="102"/>
      <c r="BW453" s="120"/>
      <c r="BX453" s="120"/>
      <c r="BY453" s="254"/>
      <c r="BZ453" s="254"/>
      <c r="CA453" s="253"/>
      <c r="CB453" s="256"/>
      <c r="CC453" s="256"/>
      <c r="CD453" s="257"/>
      <c r="CE453" s="255"/>
      <c r="CF453" s="255"/>
      <c r="CG453" s="126"/>
      <c r="CH453" s="209"/>
      <c r="CI453" s="256"/>
      <c r="CJ453" s="208"/>
      <c r="CK453" s="208"/>
      <c r="CL453" s="254"/>
      <c r="CM453" s="209"/>
      <c r="CN453" s="254"/>
      <c r="CO453" s="28"/>
      <c r="CP453" s="28"/>
      <c r="CQ453" s="28"/>
      <c r="CR453" s="28"/>
      <c r="CS453" s="28"/>
      <c r="CT453" s="28"/>
      <c r="CU453" s="28"/>
      <c r="CV453" s="28"/>
    </row>
    <row r="454" spans="1:100" ht="12" customHeight="1" x14ac:dyDescent="0.2">
      <c r="A454" s="200" t="s">
        <v>453</v>
      </c>
      <c r="B454" s="268">
        <f t="shared" ref="B454:B464" si="371">BC453</f>
        <v>195.63117025513557</v>
      </c>
      <c r="C454" s="269">
        <f t="shared" ref="C454:C464" si="372">C453-P453/100000</f>
        <v>4.9876781264364114</v>
      </c>
      <c r="D454" s="270">
        <f t="shared" ref="D454:D464" si="373">BB453</f>
        <v>2847.5709688562179</v>
      </c>
      <c r="E454" s="262">
        <f t="shared" ref="E454:E463" si="374">AW453</f>
        <v>260.17725031380417</v>
      </c>
      <c r="F454" s="161">
        <f>F453</f>
        <v>2.0000000000000001E-4</v>
      </c>
      <c r="G454" s="118">
        <v>0</v>
      </c>
      <c r="H454" s="118">
        <f t="shared" si="348"/>
        <v>1.9498474382871817E-3</v>
      </c>
      <c r="I454" s="267">
        <f>I453+F454</f>
        <v>0.30362580645161291</v>
      </c>
      <c r="J454" s="235">
        <f t="shared" si="349"/>
        <v>2.3737700045458006</v>
      </c>
      <c r="K454" s="243">
        <f t="shared" si="350"/>
        <v>0.30213217223933869</v>
      </c>
      <c r="L454" s="243">
        <f t="shared" si="351"/>
        <v>18.819134836205073</v>
      </c>
      <c r="M454" s="244">
        <f t="shared" si="352"/>
        <v>1.5937732188737215E-5</v>
      </c>
      <c r="N454" s="244">
        <f t="shared" si="353"/>
        <v>12672.59296095932</v>
      </c>
      <c r="O454" s="245">
        <f t="shared" si="354"/>
        <v>4.4078251189920016E-2</v>
      </c>
      <c r="P454" s="244">
        <f t="shared" si="355"/>
        <v>0.81961251672718938</v>
      </c>
      <c r="Q454" s="246">
        <f t="shared" si="356"/>
        <v>1.0137707374754861</v>
      </c>
      <c r="R454" s="235">
        <f t="shared" si="357"/>
        <v>3.4787115738775527E-2</v>
      </c>
      <c r="S454" s="235">
        <f>IF(N454&lt;2500,($B$443/1000/$I454)^0.333333,1+($B$443/1000/I454)^0.7)</f>
        <v>1.0526066354137844</v>
      </c>
      <c r="T454" s="235">
        <f>(S454*I454-S453*I453)/(I454-I453)</f>
        <v>1.0157856304724997</v>
      </c>
      <c r="U454" s="235">
        <f>IF($F454=0,0,(IF(N454&lt;2500,1.86*N454^0.33333*Q454^0.33333*T454*'Data Input'!B$47,0.023*N454^0.8*Q454^0.4)))</f>
        <v>44.299224652408348</v>
      </c>
      <c r="V454" s="235">
        <f t="shared" si="358"/>
        <v>340.848061382232</v>
      </c>
      <c r="W454" s="271">
        <f t="shared" si="359"/>
        <v>4.8413270275606717</v>
      </c>
      <c r="X454" s="247">
        <f t="shared" ref="X454:X463" si="375">AW453</f>
        <v>260.17725031380417</v>
      </c>
      <c r="Y454" s="136">
        <f>0.000000056703*$B$434*$H$440*$H$439*(($B$430)^4-(X454+273)^4)*(($B$427/1000*PI()/2)*($I454-$I453))*($B$433/1000)^2*PI()/4</f>
        <v>2.8015522429302823E-2</v>
      </c>
      <c r="Z454" s="136">
        <f>0.000000056703*$H$438*(($B$431)^4-(X454+273)^4)*($B$427/1000*PI())*($I454-$I453)</f>
        <v>3.4494238448782306E-2</v>
      </c>
      <c r="AA454" s="136">
        <f t="shared" si="360"/>
        <v>6.250976087808513E-2</v>
      </c>
      <c r="AB454" s="250">
        <f t="shared" si="361"/>
        <v>6.2497736382218547E-2</v>
      </c>
      <c r="AC454" s="247">
        <f t="shared" si="362"/>
        <v>261.17725031380417</v>
      </c>
      <c r="AD454" s="136">
        <f>0.000000056703*$B$434*$H$440*$H$439*(($B$430)^4-(AC454+273)^4)*(($B$427/1000*PI()/2)*($I454-$I453))*($B$433/1000)^2*PI()/4</f>
        <v>2.8011563850680678E-2</v>
      </c>
      <c r="AE454" s="136">
        <f>0.000000056703*$H$438*(($B$431)^4-(AC454+273)^4)*($B$427/1000*PI())*($I454-$I453)</f>
        <v>3.448733284648161E-2</v>
      </c>
      <c r="AF454" s="136">
        <f t="shared" si="363"/>
        <v>6.2498896697162284E-2</v>
      </c>
      <c r="AG454" s="250">
        <f t="shared" si="364"/>
        <v>6.3466001787730569E-2</v>
      </c>
      <c r="AH454" s="247">
        <f>X454+(AA454-AB454)/(AA454-AB454-(AF454-AG454))</f>
        <v>260.1895311150721</v>
      </c>
      <c r="AI454" s="250">
        <f>$W454*($I454-$I453)*(AH454-$B454)</f>
        <v>6.2509627457238259E-2</v>
      </c>
      <c r="AJ454" s="238">
        <f t="shared" si="365"/>
        <v>2847.6581276677589</v>
      </c>
      <c r="AK454" s="250">
        <f>IF(AJ454&lt;(2677.2*C454^0.0161),100.55*C454^0.2536,(AJ454+9.0877*C454-2486.6)/(0.0199*C454+1.9776))</f>
        <v>195.67311648907534</v>
      </c>
      <c r="AL454" s="235">
        <f>(AL453+AK454)/2</f>
        <v>195.6490733729961</v>
      </c>
      <c r="AM454" s="247">
        <f>AH454</f>
        <v>260.1895311150721</v>
      </c>
      <c r="AN454" s="136">
        <f>0.000000056703*$B$434*$H$440*$H$439*(($B$430)^4-(AM454+273)^4)*(($B$427/1000*PI()/2)*($I454-$I453))*($B$433/1000)^2*PI()/4</f>
        <v>2.8015473949665328E-2</v>
      </c>
      <c r="AO454" s="136">
        <f>0.000000056703*$H$438*(($B$431)^4-(AM454+273)^4)*($B$427/1000*PI())*($I454-$I453)</f>
        <v>3.4494153877746028E-2</v>
      </c>
      <c r="AP454" s="136">
        <f t="shared" si="366"/>
        <v>6.250962782741136E-2</v>
      </c>
      <c r="AQ454" s="250">
        <f>$W454*($I454-$I453)*(AM454-$B454)</f>
        <v>6.2509627457238259E-2</v>
      </c>
      <c r="AR454" s="247">
        <f>AM454+1</f>
        <v>261.1895311150721</v>
      </c>
      <c r="AS454" s="136">
        <f>0.000000056703*$B$434*$H$440*$H$439*(($B$430)^4-(AR454+273)^4)*(($B$427/1000*PI()/2)*($I454-$I453))*($B$433/1000)^2*PI()/4</f>
        <v>2.8011515097756606E-2</v>
      </c>
      <c r="AT454" s="136">
        <f>0.000000056703*$H$438*(($B$431)^4-(AR454+273)^4)*($B$427/1000*PI())*($I454-$I453)</f>
        <v>3.4487247798706454E-2</v>
      </c>
      <c r="AU454" s="136">
        <f t="shared" si="367"/>
        <v>6.2498762896463056E-2</v>
      </c>
      <c r="AV454" s="250">
        <f>$W454*($I454-$I453)*(AR454-$B454)</f>
        <v>6.3477892862750282E-2</v>
      </c>
      <c r="AW454" s="247">
        <f>AM454+(AP454-AQ454)/(AP454-AQ454-(AU454-AV454))</f>
        <v>260.18953149313523</v>
      </c>
      <c r="AX454" s="136">
        <f>0.000000056703*$B$434*$H$440*$H$439*(($B$430)^4-(AW454+273)^4)*(($B$427/1000*PI()/2)*($I454-$I453))*($B$433/1000)^2*PI()/4</f>
        <v>2.8015473948172831E-2</v>
      </c>
      <c r="AY454" s="136">
        <f>0.000000056703*$H$438*(($B$431)^4-(AW454+273)^4)*($B$427/1000*PI())*($I454-$I453)</f>
        <v>3.4494153875142423E-2</v>
      </c>
      <c r="AZ454" s="136">
        <f t="shared" si="368"/>
        <v>6.2509627823315261E-2</v>
      </c>
      <c r="BA454" s="250">
        <f t="shared" si="369"/>
        <v>6.2509627823303715E-2</v>
      </c>
      <c r="BB454" s="236">
        <f t="shared" si="370"/>
        <v>2847.6581276682696</v>
      </c>
      <c r="BC454" s="251">
        <f>IF(BB454&lt;(2677.2*C454^0.0161),100.55*C454^0.2536,(BB454+9.0877*C454-2486.6)/(0.0199*C454+1.9776))</f>
        <v>195.67311648932125</v>
      </c>
      <c r="BF454" s="102"/>
      <c r="BG454" s="120"/>
      <c r="BH454" s="102"/>
      <c r="BI454" s="261"/>
      <c r="BJ454" s="119"/>
      <c r="BK454" s="261"/>
      <c r="BL454" s="102"/>
      <c r="BM454" s="119"/>
      <c r="BN454" s="123"/>
      <c r="BO454" s="123"/>
      <c r="BP454" s="123"/>
      <c r="BQ454" s="108"/>
      <c r="BR454" s="108"/>
      <c r="BS454" s="124"/>
      <c r="BT454" s="108"/>
      <c r="BU454" s="260"/>
      <c r="BV454" s="102"/>
      <c r="BW454" s="120"/>
      <c r="BX454" s="120"/>
      <c r="BY454" s="254"/>
      <c r="BZ454" s="254"/>
      <c r="CA454" s="253"/>
      <c r="CB454" s="256"/>
      <c r="CC454" s="256"/>
      <c r="CD454" s="257"/>
      <c r="CE454" s="255"/>
      <c r="CF454" s="255"/>
      <c r="CG454" s="126"/>
      <c r="CH454" s="209"/>
      <c r="CI454" s="256"/>
      <c r="CJ454" s="208"/>
      <c r="CK454" s="208"/>
      <c r="CL454" s="254"/>
      <c r="CM454" s="209"/>
      <c r="CN454" s="254"/>
      <c r="CO454" s="28"/>
      <c r="CP454" s="28"/>
      <c r="CQ454" s="28"/>
      <c r="CR454" s="28"/>
      <c r="CS454" s="28"/>
      <c r="CT454" s="28"/>
      <c r="CU454" s="28"/>
      <c r="CV454" s="28"/>
    </row>
    <row r="455" spans="1:100" ht="12" customHeight="1" x14ac:dyDescent="0.2">
      <c r="A455" s="200" t="s">
        <v>453</v>
      </c>
      <c r="B455" s="268">
        <f t="shared" si="371"/>
        <v>195.67311648932125</v>
      </c>
      <c r="C455" s="269">
        <f t="shared" si="372"/>
        <v>4.9876699303112444</v>
      </c>
      <c r="D455" s="270">
        <f t="shared" si="373"/>
        <v>2847.6581276682696</v>
      </c>
      <c r="E455" s="262">
        <f t="shared" si="374"/>
        <v>260.18953149313523</v>
      </c>
      <c r="F455" s="161">
        <f>F454</f>
        <v>2.0000000000000001E-4</v>
      </c>
      <c r="G455" s="118">
        <v>0</v>
      </c>
      <c r="H455" s="118">
        <f t="shared" si="348"/>
        <v>1.9498670405973023E-3</v>
      </c>
      <c r="I455" s="267">
        <f>I454+F455</f>
        <v>0.30382580645161289</v>
      </c>
      <c r="J455" s="235">
        <f t="shared" si="349"/>
        <v>2.3735266731706721</v>
      </c>
      <c r="K455" s="243">
        <f t="shared" si="350"/>
        <v>0.30216314650129772</v>
      </c>
      <c r="L455" s="243">
        <f t="shared" si="351"/>
        <v>18.821064153456984</v>
      </c>
      <c r="M455" s="244">
        <f t="shared" si="352"/>
        <v>1.5939472658889259E-5</v>
      </c>
      <c r="N455" s="244">
        <f t="shared" si="353"/>
        <v>12671.209209421892</v>
      </c>
      <c r="O455" s="245">
        <f t="shared" si="354"/>
        <v>4.4078694319742609E-2</v>
      </c>
      <c r="P455" s="244">
        <f t="shared" si="355"/>
        <v>0.81970478312863926</v>
      </c>
      <c r="Q455" s="246">
        <f t="shared" si="356"/>
        <v>1.0137300981163555</v>
      </c>
      <c r="R455" s="235">
        <f t="shared" si="357"/>
        <v>3.4790472105453857E-2</v>
      </c>
      <c r="S455" s="235">
        <f>IF(N455&lt;2500,($B$443/1000/$I455)^0.333333,1+($B$443/1000/I455)^0.7)</f>
        <v>1.0525823923895647</v>
      </c>
      <c r="T455" s="235">
        <f>(S455*I455-S454*I454)/(I455-I454)</f>
        <v>1.015778353491815</v>
      </c>
      <c r="U455" s="235">
        <f>IF($F455=0,0,(IF(N455&lt;2500,1.86*N455^0.33333*Q455^0.33333*T455*'Data Input'!B$47,0.023*N455^0.8*Q455^0.4)))</f>
        <v>44.294644615780498</v>
      </c>
      <c r="V455" s="235">
        <f t="shared" si="358"/>
        <v>340.84570422151279</v>
      </c>
      <c r="W455" s="271">
        <f t="shared" si="359"/>
        <v>4.841293546995014</v>
      </c>
      <c r="X455" s="247">
        <f t="shared" si="375"/>
        <v>260.18953149313523</v>
      </c>
      <c r="Y455" s="136">
        <f>0.000000056703*$B$434*$H$440*$H$439*(($B$430)^4-(X455+273)^4)*(($B$427/1000*PI()/2)*($I455-$I454))*($B$433/1000)^2*PI()/4</f>
        <v>2.8015473948172831E-2</v>
      </c>
      <c r="Z455" s="136">
        <f>0.000000056703*$H$438*(($B$431)^4-(X455+273)^4)*($B$427/1000*PI())*($I455-$I454)</f>
        <v>3.4494153875142423E-2</v>
      </c>
      <c r="AA455" s="136">
        <f t="shared" si="360"/>
        <v>6.2509627823315261E-2</v>
      </c>
      <c r="AB455" s="250">
        <f t="shared" si="361"/>
        <v>6.2468580726636511E-2</v>
      </c>
      <c r="AC455" s="247">
        <f t="shared" si="362"/>
        <v>261.18953149313523</v>
      </c>
      <c r="AD455" s="136">
        <f>0.000000056703*$B$434*$H$440*$H$439*(($B$430)^4-(AC455+273)^4)*(($B$427/1000*PI()/2)*($I455-$I454))*($B$433/1000)^2*PI()/4</f>
        <v>2.8011515096255699E-2</v>
      </c>
      <c r="AE455" s="136">
        <f>0.000000056703*$H$438*(($B$431)^4-(AC455+273)^4)*($B$427/1000*PI())*($I455-$I454)</f>
        <v>3.4487247796088173E-2</v>
      </c>
      <c r="AF455" s="136">
        <f t="shared" si="363"/>
        <v>6.2498762892343872E-2</v>
      </c>
      <c r="AG455" s="250">
        <f t="shared" si="364"/>
        <v>6.3436839436035411E-2</v>
      </c>
      <c r="AH455" s="247">
        <f>X455+(AA455-AB455)/(AA455-AB455-(AF455-AG455))</f>
        <v>260.2314537744349</v>
      </c>
      <c r="AI455" s="250">
        <f>$W455*($I455-$I454)*(AH455-$B455)</f>
        <v>6.2509172340622782E-2</v>
      </c>
      <c r="AJ455" s="238">
        <f t="shared" si="365"/>
        <v>2847.7452858452298</v>
      </c>
      <c r="AK455" s="250">
        <f>IF(AJ455&lt;(2677.2*C455^0.0161),100.55*C455^0.2536,(AJ455+9.0877*C455-2486.6)/(0.0199*C455+1.9776))</f>
        <v>195.71506242360013</v>
      </c>
      <c r="AL455" s="235">
        <f>(AL454+AK455)/2</f>
        <v>195.6820678982981</v>
      </c>
      <c r="AM455" s="247">
        <f>AH455</f>
        <v>260.2314537744349</v>
      </c>
      <c r="AN455" s="136">
        <f>0.000000056703*$B$434*$H$440*$H$439*(($B$430)^4-(AM455+273)^4)*(($B$427/1000*PI()/2)*($I455-$I454))*($B$433/1000)^2*PI()/4</f>
        <v>2.8015308430720469E-2</v>
      </c>
      <c r="AO455" s="136">
        <f>0.000000056703*$H$438*(($B$431)^4-(AM455+273)^4)*($B$427/1000*PI())*($I455-$I454)</f>
        <v>3.4493865135721308E-2</v>
      </c>
      <c r="AP455" s="136">
        <f t="shared" si="366"/>
        <v>6.2509173566441784E-2</v>
      </c>
      <c r="AQ455" s="250">
        <f>$W455*($I455-$I454)*(AM455-$B455)</f>
        <v>6.2509172340622782E-2</v>
      </c>
      <c r="AR455" s="247">
        <f>AM455+1</f>
        <v>261.2314537744349</v>
      </c>
      <c r="AS455" s="136">
        <f>0.000000056703*$B$434*$H$440*$H$439*(($B$430)^4-(AR455+273)^4)*(($B$427/1000*PI()/2)*($I455-$I454))*($B$433/1000)^2*PI()/4</f>
        <v>2.8011348645805595E-2</v>
      </c>
      <c r="AT455" s="136">
        <f>0.000000056703*$H$438*(($B$431)^4-(AR455+273)^4)*($B$427/1000*PI())*($I455-$I454)</f>
        <v>3.448695742908503E-2</v>
      </c>
      <c r="AU455" s="136">
        <f t="shared" si="367"/>
        <v>6.2498306074890625E-2</v>
      </c>
      <c r="AV455" s="250">
        <f>$W455*($I455-$I454)*(AR455-$B455)</f>
        <v>6.3477431050021682E-2</v>
      </c>
      <c r="AW455" s="247">
        <f>AM455+(AP455-AQ455)/(AP455-AQ455-(AU455-AV455))</f>
        <v>260.23145502638687</v>
      </c>
      <c r="AX455" s="136">
        <f>0.000000056703*$B$434*$H$440*$H$439*(($B$430)^4-(AW455+273)^4)*(($B$427/1000*PI()/2)*($I455-$I454))*($B$433/1000)^2*PI()/4</f>
        <v>2.8015308425776934E-2</v>
      </c>
      <c r="AY455" s="136">
        <f>0.000000056703*$H$438*(($B$431)^4-(AW455+273)^4)*($B$427/1000*PI())*($I455-$I454)</f>
        <v>3.4493865127097484E-2</v>
      </c>
      <c r="AZ455" s="136">
        <f t="shared" si="368"/>
        <v>6.2509173552874414E-2</v>
      </c>
      <c r="BA455" s="250">
        <f t="shared" si="369"/>
        <v>6.2509173552836181E-2</v>
      </c>
      <c r="BB455" s="236">
        <f t="shared" si="370"/>
        <v>2847.7452858469201</v>
      </c>
      <c r="BC455" s="251">
        <f>IF(BB455&lt;(2677.2*C455^0.0161),100.55*C455^0.2536,(BB455+9.0877*C455-2486.6)/(0.0199*C455+1.9776))</f>
        <v>195.71506242441399</v>
      </c>
      <c r="BF455" s="102"/>
      <c r="BG455" s="120"/>
      <c r="BH455" s="102"/>
      <c r="BI455" s="261"/>
      <c r="BJ455" s="119"/>
      <c r="BK455" s="261"/>
      <c r="BL455" s="102"/>
      <c r="BM455" s="119"/>
      <c r="BN455" s="123"/>
      <c r="BO455" s="123"/>
      <c r="BP455" s="123"/>
      <c r="BQ455" s="108"/>
      <c r="BR455" s="108"/>
      <c r="BS455" s="124"/>
      <c r="BT455" s="108"/>
      <c r="BU455" s="260"/>
      <c r="BV455" s="102"/>
      <c r="BW455" s="120"/>
      <c r="BX455" s="120"/>
      <c r="BY455" s="254"/>
      <c r="BZ455" s="254"/>
      <c r="CA455" s="253"/>
      <c r="CB455" s="256"/>
      <c r="CC455" s="256"/>
      <c r="CD455" s="257"/>
      <c r="CE455" s="255"/>
      <c r="CF455" s="255"/>
      <c r="CG455" s="126"/>
      <c r="CH455" s="209"/>
      <c r="CI455" s="256"/>
      <c r="CJ455" s="208"/>
      <c r="CK455" s="208"/>
      <c r="CL455" s="254"/>
      <c r="CM455" s="209"/>
      <c r="CN455" s="254"/>
      <c r="CO455" s="28"/>
      <c r="CP455" s="28"/>
      <c r="CQ455" s="28"/>
      <c r="CR455" s="28"/>
      <c r="CS455" s="28"/>
      <c r="CT455" s="28"/>
      <c r="CU455" s="28"/>
      <c r="CV455" s="28"/>
    </row>
    <row r="456" spans="1:100" ht="12" customHeight="1" x14ac:dyDescent="0.2">
      <c r="A456" s="200" t="s">
        <v>453</v>
      </c>
      <c r="B456" s="268">
        <f t="shared" si="371"/>
        <v>195.71506242441399</v>
      </c>
      <c r="C456" s="269">
        <f t="shared" si="372"/>
        <v>4.9876617332634128</v>
      </c>
      <c r="D456" s="270">
        <f t="shared" si="373"/>
        <v>2847.7452858469201</v>
      </c>
      <c r="E456" s="262">
        <f t="shared" si="374"/>
        <v>260.23145502638687</v>
      </c>
      <c r="F456" s="161">
        <f>F455</f>
        <v>2.0000000000000001E-4</v>
      </c>
      <c r="G456" s="118">
        <v>0</v>
      </c>
      <c r="H456" s="118">
        <f t="shared" si="348"/>
        <v>1.9498866423191168E-3</v>
      </c>
      <c r="I456" s="267">
        <f>I455+F456</f>
        <v>0.30402580645161287</v>
      </c>
      <c r="J456" s="235">
        <f t="shared" si="349"/>
        <v>2.3732833994279612</v>
      </c>
      <c r="K456" s="243">
        <f t="shared" si="350"/>
        <v>0.30219411977637156</v>
      </c>
      <c r="L456" s="243">
        <f t="shared" si="351"/>
        <v>18.822993409238034</v>
      </c>
      <c r="M456" s="244">
        <f t="shared" si="352"/>
        <v>1.5941213117538295E-5</v>
      </c>
      <c r="N456" s="244">
        <f t="shared" si="353"/>
        <v>12669.825769184334</v>
      </c>
      <c r="O456" s="245">
        <f t="shared" si="354"/>
        <v>4.4079137436265951E-2</v>
      </c>
      <c r="P456" s="244">
        <f t="shared" si="355"/>
        <v>0.81979704829497302</v>
      </c>
      <c r="Q456" s="246">
        <f t="shared" si="356"/>
        <v>1.0136894688155205</v>
      </c>
      <c r="R456" s="235">
        <f t="shared" si="357"/>
        <v>3.4793828762214027E-2</v>
      </c>
      <c r="S456" s="235">
        <f>IF(N456&lt;2500,($B$443/1000/$I456)^0.333333,1+($B$443/1000/I456)^0.7)</f>
        <v>1.0525581764796286</v>
      </c>
      <c r="T456" s="235">
        <f>(S456*I456-S455*I455)/(I456-I455)</f>
        <v>1.0157710846532284</v>
      </c>
      <c r="U456" s="235">
        <f>IF($F456=0,0,(IF(N456&lt;2500,1.86*N456^0.33333*Q456^0.33333*T456*'Data Input'!B$47,0.023*N456^0.8*Q456^0.4)))</f>
        <v>44.290065648014611</v>
      </c>
      <c r="V456" s="235">
        <f t="shared" si="358"/>
        <v>340.84335132801874</v>
      </c>
      <c r="W456" s="271">
        <f t="shared" si="359"/>
        <v>4.8412601270400364</v>
      </c>
      <c r="X456" s="247">
        <f t="shared" si="375"/>
        <v>260.23145502638687</v>
      </c>
      <c r="Y456" s="136">
        <f>0.000000056703*$B$434*$H$440*$H$439*(($B$430)^4-(X456+273)^4)*(($B$427/1000*PI()/2)*($I456-$I455))*($B$433/1000)^2*PI()/4</f>
        <v>2.8015308425776934E-2</v>
      </c>
      <c r="Z456" s="136">
        <f>0.000000056703*$H$438*(($B$431)^4-(X456+273)^4)*($B$427/1000*PI())*($I456-$I455)</f>
        <v>3.4493865127097484E-2</v>
      </c>
      <c r="AA456" s="136">
        <f t="shared" si="360"/>
        <v>6.2509173552874414E-2</v>
      </c>
      <c r="AB456" s="250">
        <f t="shared" si="361"/>
        <v>6.2468127808871544E-2</v>
      </c>
      <c r="AC456" s="247">
        <f t="shared" si="362"/>
        <v>261.23145502638687</v>
      </c>
      <c r="AD456" s="136">
        <f>0.000000056703*$B$434*$H$440*$H$439*(($B$430)^4-(AC456+273)^4)*(($B$427/1000*PI()/2)*($I456-$I455))*($B$433/1000)^2*PI()/4</f>
        <v>2.8011348640834193E-2</v>
      </c>
      <c r="AE456" s="136">
        <f>0.000000056703*$H$438*(($B$431)^4-(AC456+273)^4)*($B$427/1000*PI())*($I456-$I455)</f>
        <v>3.4486957420412592E-2</v>
      </c>
      <c r="AF456" s="136">
        <f t="shared" si="363"/>
        <v>6.2498306061246789E-2</v>
      </c>
      <c r="AG456" s="250">
        <f t="shared" si="364"/>
        <v>6.3436379834279438E-2</v>
      </c>
      <c r="AH456" s="247">
        <f>X456+(AA456-AB456)/(AA456-AB456-(AF456-AG456))</f>
        <v>260.27337610270973</v>
      </c>
      <c r="AI456" s="250">
        <f>$W456*($I456-$I455)*(AH456-$B456)</f>
        <v>6.2508717975928441E-2</v>
      </c>
      <c r="AJ456" s="238">
        <f t="shared" si="365"/>
        <v>2847.8324433903476</v>
      </c>
      <c r="AK456" s="250">
        <f>IF(AJ456&lt;(2677.2*C456^0.0161),100.55*C456^0.2536,(AJ456+9.0877*C456-2486.6)/(0.0199*C456+1.9776))</f>
        <v>195.75700805793036</v>
      </c>
      <c r="AL456" s="235">
        <f>(AL455+AK456)/2</f>
        <v>195.71953797811423</v>
      </c>
      <c r="AM456" s="247">
        <f>AH456</f>
        <v>260.27337610270973</v>
      </c>
      <c r="AN456" s="136">
        <f>0.000000056703*$B$434*$H$440*$H$439*(($B$430)^4-(AM456+273)^4)*(($B$427/1000*PI()/2)*($I456-$I455))*($B$433/1000)^2*PI()/4</f>
        <v>2.8015142874039375E-2</v>
      </c>
      <c r="AO456" s="136">
        <f>0.000000056703*$H$438*(($B$431)^4-(AM456+273)^4)*($B$427/1000*PI())*($I456-$I455)</f>
        <v>3.449357632786703E-2</v>
      </c>
      <c r="AP456" s="136">
        <f t="shared" si="366"/>
        <v>6.2508719201906399E-2</v>
      </c>
      <c r="AQ456" s="250">
        <f>$W456*($I456-$I455)*(AM456-$B456)</f>
        <v>6.2508717975928441E-2</v>
      </c>
      <c r="AR456" s="247">
        <f>AM456+1</f>
        <v>261.27337610270973</v>
      </c>
      <c r="AS456" s="136">
        <f>0.000000056703*$B$434*$H$440*$H$439*(($B$430)^4-(AR456+273)^4)*(($B$427/1000*PI()/2)*($I456-$I455))*($B$433/1000)^2*PI()/4</f>
        <v>2.8011182155979131E-2</v>
      </c>
      <c r="AT456" s="136">
        <f>0.000000056703*$H$438*(($B$431)^4-(AR456+273)^4)*($B$427/1000*PI())*($I456-$I455)</f>
        <v>3.4486666993391209E-2</v>
      </c>
      <c r="AU456" s="136">
        <f t="shared" si="367"/>
        <v>6.2497849149370344E-2</v>
      </c>
      <c r="AV456" s="250">
        <f>$W456*($I456-$I455)*(AR456-$B456)</f>
        <v>6.3476970001336341E-2</v>
      </c>
      <c r="AW456" s="247">
        <f>AM456+(AP456-AQ456)/(AP456-AQ456-(AU456-AV456))</f>
        <v>260.27337735482934</v>
      </c>
      <c r="AX456" s="136">
        <f>0.000000056703*$B$434*$H$440*$H$439*(($B$430)^4-(AW456+273)^4)*(($B$427/1000*PI()/2)*($I456-$I455))*($B$433/1000)^2*PI()/4</f>
        <v>2.8015142869094008E-2</v>
      </c>
      <c r="AY456" s="136">
        <f>0.000000056703*$H$438*(($B$431)^4-(AW456+273)^4)*($B$427/1000*PI())*($I456-$I455)</f>
        <v>3.4493576319240007E-2</v>
      </c>
      <c r="AZ456" s="136">
        <f t="shared" si="368"/>
        <v>6.2508719188334019E-2</v>
      </c>
      <c r="BA456" s="250">
        <f t="shared" si="369"/>
        <v>6.2508719188295772E-2</v>
      </c>
      <c r="BB456" s="236">
        <f t="shared" si="370"/>
        <v>2847.8324433920379</v>
      </c>
      <c r="BC456" s="251">
        <f>IF(BB456&lt;(2677.2*C456^0.0161),100.55*C456^0.2536,(BB456+9.0877*C456-2486.6)/(0.0199*C456+1.9776))</f>
        <v>195.75700805874422</v>
      </c>
      <c r="BF456" s="102"/>
      <c r="BG456" s="120"/>
      <c r="BH456" s="102"/>
      <c r="BI456" s="261"/>
      <c r="BJ456" s="119"/>
      <c r="BK456" s="261"/>
      <c r="BL456" s="102"/>
      <c r="BM456" s="119"/>
      <c r="BN456" s="123"/>
      <c r="BO456" s="123"/>
      <c r="BP456" s="123"/>
      <c r="BQ456" s="108"/>
      <c r="BR456" s="108"/>
      <c r="BS456" s="124"/>
      <c r="BT456" s="108"/>
      <c r="BU456" s="260"/>
      <c r="BV456" s="102"/>
      <c r="BW456" s="120"/>
      <c r="BX456" s="120"/>
      <c r="BY456" s="254"/>
      <c r="BZ456" s="254"/>
      <c r="CA456" s="253"/>
      <c r="CB456" s="256"/>
      <c r="CC456" s="256"/>
      <c r="CD456" s="257"/>
      <c r="CE456" s="255"/>
      <c r="CF456" s="255"/>
      <c r="CG456" s="126"/>
      <c r="CH456" s="209"/>
      <c r="CI456" s="256"/>
      <c r="CJ456" s="208"/>
      <c r="CK456" s="208"/>
      <c r="CL456" s="254"/>
      <c r="CM456" s="209"/>
      <c r="CN456" s="254"/>
      <c r="CO456" s="28"/>
      <c r="CP456" s="28"/>
      <c r="CQ456" s="28"/>
      <c r="CR456" s="28"/>
      <c r="CS456" s="28"/>
      <c r="CT456" s="28"/>
      <c r="CU456" s="28"/>
      <c r="CV456" s="28"/>
    </row>
    <row r="457" spans="1:100" ht="12" customHeight="1" x14ac:dyDescent="0.2">
      <c r="A457" s="200" t="s">
        <v>453</v>
      </c>
      <c r="B457" s="268">
        <f t="shared" si="371"/>
        <v>195.75700805874422</v>
      </c>
      <c r="C457" s="269">
        <f t="shared" si="372"/>
        <v>4.9876535352929299</v>
      </c>
      <c r="D457" s="270">
        <f t="shared" si="373"/>
        <v>2847.8324433920379</v>
      </c>
      <c r="E457" s="262">
        <f t="shared" si="374"/>
        <v>260.27337735482934</v>
      </c>
      <c r="F457" s="161">
        <f>F456</f>
        <v>2.0000000000000001E-4</v>
      </c>
      <c r="G457" s="118">
        <v>0</v>
      </c>
      <c r="H457" s="118">
        <f t="shared" si="348"/>
        <v>1.949906243451899E-3</v>
      </c>
      <c r="I457" s="267">
        <f>I456+F457</f>
        <v>0.30422580645161285</v>
      </c>
      <c r="J457" s="235">
        <f t="shared" si="349"/>
        <v>2.3730401833035732</v>
      </c>
      <c r="K457" s="243">
        <f t="shared" si="350"/>
        <v>0.30222509206379511</v>
      </c>
      <c r="L457" s="243">
        <f t="shared" si="351"/>
        <v>18.824922603500561</v>
      </c>
      <c r="M457" s="244">
        <f t="shared" si="352"/>
        <v>1.5942953564615023E-5</v>
      </c>
      <c r="N457" s="244">
        <f t="shared" si="353"/>
        <v>12668.442640196768</v>
      </c>
      <c r="O457" s="245">
        <f t="shared" si="354"/>
        <v>4.4079580539473626E-2</v>
      </c>
      <c r="P457" s="244">
        <f t="shared" si="355"/>
        <v>0.81988931222365247</v>
      </c>
      <c r="Q457" s="246">
        <f t="shared" si="356"/>
        <v>1.0136488495743574</v>
      </c>
      <c r="R457" s="235">
        <f t="shared" si="357"/>
        <v>3.47971857089154E-2</v>
      </c>
      <c r="S457" s="235">
        <f>IF(N457&lt;2500,($B$443/1000/$I457)^0.333333,1+($B$443/1000/I457)^0.7)</f>
        <v>1.0525339876358435</v>
      </c>
      <c r="T457" s="235">
        <f>(S457*I457-S456*I456)/(I457-I456)</f>
        <v>1.0157638239411968</v>
      </c>
      <c r="U457" s="235">
        <f>IF($F457=0,0,(IF(N457&lt;2500,1.86*N457^0.33333*Q457^0.33333*T457*'Data Input'!B$47,0.023*N457^0.8*Q457^0.4)))</f>
        <v>44.285487748973523</v>
      </c>
      <c r="V457" s="235">
        <f t="shared" si="358"/>
        <v>340.84100270081609</v>
      </c>
      <c r="W457" s="271">
        <f t="shared" si="359"/>
        <v>4.8412267676824747</v>
      </c>
      <c r="X457" s="247">
        <f t="shared" si="375"/>
        <v>260.27337735482934</v>
      </c>
      <c r="Y457" s="136">
        <f>0.000000056703*$B$434*$H$440*$H$439*(($B$430)^4-(X457+273)^4)*(($B$427/1000*PI()/2)*($I457-$I456))*($B$433/1000)^2*PI()/4</f>
        <v>2.8015142869094008E-2</v>
      </c>
      <c r="Z457" s="136">
        <f>0.000000056703*$H$438*(($B$431)^4-(X457+273)^4)*($B$427/1000*PI())*($I457-$I456)</f>
        <v>3.4493576319240007E-2</v>
      </c>
      <c r="AA457" s="136">
        <f t="shared" si="360"/>
        <v>6.2508719188334019E-2</v>
      </c>
      <c r="AB457" s="250">
        <f t="shared" si="361"/>
        <v>6.246767479797212E-2</v>
      </c>
      <c r="AC457" s="247">
        <f t="shared" si="362"/>
        <v>261.27337735482934</v>
      </c>
      <c r="AD457" s="136">
        <f>0.000000056703*$B$434*$H$440*$H$439*(($B$430)^4-(AC457+273)^4)*(($B$427/1000*PI()/2)*($I457-$I456))*($B$433/1000)^2*PI()/4</f>
        <v>2.8011182151005891E-2</v>
      </c>
      <c r="AE457" s="136">
        <f>0.000000056703*$H$438*(($B$431)^4-(AC457+273)^4)*($B$427/1000*PI())*($I457-$I456)</f>
        <v>3.4486666984715572E-2</v>
      </c>
      <c r="AF457" s="136">
        <f t="shared" si="363"/>
        <v>6.2497849135721463E-2</v>
      </c>
      <c r="AG457" s="250">
        <f t="shared" si="364"/>
        <v>6.3435920151508507E-2</v>
      </c>
      <c r="AH457" s="247">
        <f>X457+(AA457-AB457)/(AA457-AB457-(AF457-AG457))</f>
        <v>260.31529722464666</v>
      </c>
      <c r="AI457" s="250">
        <f>$W457*($I457-$I456)*(AH457-$B457)</f>
        <v>6.2508263517143586E-2</v>
      </c>
      <c r="AJ457" s="238">
        <f t="shared" si="365"/>
        <v>2847.9196003018019</v>
      </c>
      <c r="AK457" s="250">
        <f>IF(AJ457&lt;(2677.2*C457^0.0161),100.55*C457^0.2536,(AJ457+9.0877*C457-2486.6)/(0.0199*C457+1.9776))</f>
        <v>195.79895339143587</v>
      </c>
      <c r="AL457" s="235">
        <f>(AL456+AK457)/2</f>
        <v>195.75924568477507</v>
      </c>
      <c r="AM457" s="247">
        <f>AH457</f>
        <v>260.31529722464666</v>
      </c>
      <c r="AN457" s="136">
        <f>0.000000056703*$B$434*$H$440*$H$439*(($B$430)^4-(AM457+273)^4)*(($B$427/1000*PI()/2)*($I457-$I456))*($B$433/1000)^2*PI()/4</f>
        <v>2.8014977283074526E-2</v>
      </c>
      <c r="AO457" s="136">
        <f>0.000000056703*$H$438*(($B$431)^4-(AM457+273)^4)*($B$427/1000*PI())*($I457-$I456)</f>
        <v>3.4493287460205926E-2</v>
      </c>
      <c r="AP457" s="136">
        <f t="shared" si="366"/>
        <v>6.2508264743280445E-2</v>
      </c>
      <c r="AQ457" s="250">
        <f>$W457*($I457-$I456)*(AM457-$B457)</f>
        <v>6.2508263517143586E-2</v>
      </c>
      <c r="AR457" s="247">
        <f>AM457+1</f>
        <v>261.31529722464666</v>
      </c>
      <c r="AS457" s="136">
        <f>0.000000056703*$B$434*$H$440*$H$439*(($B$430)^4-(AR457+273)^4)*(($B$427/1000*PI()/2)*($I457-$I456))*($B$433/1000)^2*PI()/4</f>
        <v>2.8011015631749181E-2</v>
      </c>
      <c r="AT457" s="136">
        <f>0.000000056703*$H$438*(($B$431)^4-(AR457+273)^4)*($B$427/1000*PI())*($I457-$I456)</f>
        <v>3.4486376497681701E-2</v>
      </c>
      <c r="AU457" s="136">
        <f t="shared" si="367"/>
        <v>6.2497392129430882E-2</v>
      </c>
      <c r="AV457" s="250">
        <f>$W457*($I457-$I456)*(AR457-$B457)</f>
        <v>6.3476508870679973E-2</v>
      </c>
      <c r="AW457" s="247">
        <f>AM457+(AP457-AQ457)/(AP457-AQ457-(AU457-AV457))</f>
        <v>260.31529847693383</v>
      </c>
      <c r="AX457" s="136">
        <f>0.000000056703*$B$434*$H$440*$H$439*(($B$430)^4-(AW457+273)^4)*(($B$427/1000*PI()/2)*($I457-$I456))*($B$433/1000)^2*PI()/4</f>
        <v>2.8014977278127334E-2</v>
      </c>
      <c r="AY457" s="136">
        <f>0.000000056703*$H$438*(($B$431)^4-(AW457+273)^4)*($B$427/1000*PI())*($I457-$I456)</f>
        <v>3.4493287451575726E-2</v>
      </c>
      <c r="AZ457" s="136">
        <f t="shared" si="368"/>
        <v>6.2508264729703056E-2</v>
      </c>
      <c r="BA457" s="250">
        <f t="shared" si="369"/>
        <v>6.2508264729664836E-2</v>
      </c>
      <c r="BB457" s="236">
        <f t="shared" si="370"/>
        <v>2847.9196003034922</v>
      </c>
      <c r="BC457" s="251">
        <f>IF(BB457&lt;(2677.2*C457^0.0161),100.55*C457^0.2536,(BB457+9.0877*C457-2486.6)/(0.0199*C457+1.9776))</f>
        <v>195.79895339224973</v>
      </c>
      <c r="BF457" s="102"/>
      <c r="BG457" s="120"/>
      <c r="BH457" s="102"/>
      <c r="BI457" s="261"/>
      <c r="BJ457" s="119"/>
      <c r="BK457" s="261"/>
      <c r="BL457" s="102"/>
      <c r="BM457" s="119"/>
      <c r="BN457" s="123"/>
      <c r="BO457" s="123"/>
      <c r="BP457" s="123"/>
      <c r="BQ457" s="108"/>
      <c r="BR457" s="108"/>
      <c r="BS457" s="124"/>
      <c r="BT457" s="108"/>
      <c r="BU457" s="260"/>
      <c r="BV457" s="102"/>
      <c r="BW457" s="120"/>
      <c r="BX457" s="120"/>
      <c r="BY457" s="254"/>
      <c r="BZ457" s="254"/>
      <c r="CA457" s="253"/>
      <c r="CB457" s="256"/>
      <c r="CC457" s="256"/>
      <c r="CD457" s="257"/>
      <c r="CE457" s="255"/>
      <c r="CF457" s="255"/>
      <c r="CG457" s="126"/>
      <c r="CH457" s="209"/>
      <c r="CI457" s="256"/>
      <c r="CJ457" s="208"/>
      <c r="CK457" s="208"/>
      <c r="CL457" s="254"/>
      <c r="CM457" s="209"/>
      <c r="CN457" s="254"/>
      <c r="CO457" s="28"/>
      <c r="CP457" s="28"/>
      <c r="CQ457" s="28"/>
      <c r="CR457" s="28"/>
      <c r="CS457" s="28"/>
      <c r="CT457" s="28"/>
      <c r="CU457" s="28"/>
      <c r="CV457" s="28"/>
    </row>
    <row r="458" spans="1:100" ht="12" customHeight="1" x14ac:dyDescent="0.2">
      <c r="A458" s="200" t="s">
        <v>454</v>
      </c>
      <c r="B458" s="268">
        <f t="shared" si="371"/>
        <v>195.79895339224973</v>
      </c>
      <c r="C458" s="269">
        <f t="shared" si="372"/>
        <v>4.9876453363998072</v>
      </c>
      <c r="D458" s="270">
        <f t="shared" si="373"/>
        <v>2847.9196003034922</v>
      </c>
      <c r="E458" s="262">
        <f t="shared" si="374"/>
        <v>260.31529847693383</v>
      </c>
      <c r="F458" s="161">
        <v>0</v>
      </c>
      <c r="G458" s="118">
        <v>1.8</v>
      </c>
      <c r="H458" s="118">
        <f t="shared" si="348"/>
        <v>1.8</v>
      </c>
      <c r="I458" s="267">
        <v>0</v>
      </c>
      <c r="J458" s="235">
        <f t="shared" si="349"/>
        <v>2.3727970247742571</v>
      </c>
      <c r="K458" s="243">
        <f t="shared" si="350"/>
        <v>0.3022560633639701</v>
      </c>
      <c r="L458" s="243">
        <f t="shared" si="351"/>
        <v>18.826851736269592</v>
      </c>
      <c r="M458" s="244">
        <f t="shared" si="352"/>
        <v>1.5944694000116843E-5</v>
      </c>
      <c r="N458" s="244">
        <f t="shared" si="353"/>
        <v>12667.059822356325</v>
      </c>
      <c r="O458" s="245">
        <f t="shared" si="354"/>
        <v>4.4080023629366187E-2</v>
      </c>
      <c r="P458" s="244">
        <f t="shared" si="355"/>
        <v>756.9348544166445</v>
      </c>
      <c r="Q458" s="246">
        <f t="shared" si="356"/>
        <v>1.0136082403926903</v>
      </c>
      <c r="R458" s="235">
        <f t="shared" si="357"/>
        <v>3.480054294554609E-2</v>
      </c>
      <c r="S458" s="235">
        <v>0</v>
      </c>
      <c r="T458" s="235">
        <v>1</v>
      </c>
      <c r="U458" s="235">
        <f>IF($F458=0,0,(IF(N458&lt;2500,1.86*N458^0.33333*Q458^0.33333*T458*'Data Input'!B$47,0.023*N458^0.8*Q458^0.4)))</f>
        <v>0</v>
      </c>
      <c r="V458" s="235">
        <f t="shared" si="358"/>
        <v>0</v>
      </c>
      <c r="W458" s="271">
        <f t="shared" si="359"/>
        <v>0</v>
      </c>
      <c r="X458" s="247">
        <f t="shared" si="375"/>
        <v>260.31529847693383</v>
      </c>
      <c r="Y458" s="136">
        <v>0</v>
      </c>
      <c r="Z458" s="136">
        <v>0</v>
      </c>
      <c r="AA458" s="136">
        <f t="shared" si="360"/>
        <v>0</v>
      </c>
      <c r="AB458" s="250">
        <f t="shared" si="361"/>
        <v>0</v>
      </c>
      <c r="AC458" s="247">
        <f t="shared" si="362"/>
        <v>261.31529847693383</v>
      </c>
      <c r="AD458" s="136">
        <v>0</v>
      </c>
      <c r="AE458" s="136">
        <v>0</v>
      </c>
      <c r="AF458" s="136">
        <f t="shared" si="363"/>
        <v>0</v>
      </c>
      <c r="AG458" s="250">
        <f t="shared" si="364"/>
        <v>0</v>
      </c>
      <c r="AH458" s="247">
        <f>AH457</f>
        <v>260.31529722464666</v>
      </c>
      <c r="AI458" s="250">
        <v>0</v>
      </c>
      <c r="AJ458" s="238">
        <f t="shared" si="365"/>
        <v>2847.9196003034922</v>
      </c>
      <c r="AK458" s="250">
        <f>AK457</f>
        <v>195.79895339143587</v>
      </c>
      <c r="AL458" s="235">
        <f>AL457</f>
        <v>195.75924568477507</v>
      </c>
      <c r="AM458" s="247">
        <f>AM457</f>
        <v>260.31529722464666</v>
      </c>
      <c r="AN458" s="136">
        <v>0</v>
      </c>
      <c r="AO458" s="136">
        <v>0</v>
      </c>
      <c r="AP458" s="136">
        <f t="shared" si="366"/>
        <v>0</v>
      </c>
      <c r="AQ458" s="250">
        <v>0</v>
      </c>
      <c r="AR458" s="247">
        <f>AR457</f>
        <v>261.31529722464666</v>
      </c>
      <c r="AS458" s="136">
        <v>0</v>
      </c>
      <c r="AT458" s="136">
        <v>0</v>
      </c>
      <c r="AU458" s="136">
        <f t="shared" si="367"/>
        <v>0</v>
      </c>
      <c r="AV458" s="250">
        <v>0</v>
      </c>
      <c r="AW458" s="247">
        <f>AW457</f>
        <v>260.31529847693383</v>
      </c>
      <c r="AX458" s="136">
        <v>0</v>
      </c>
      <c r="AY458" s="136">
        <v>0</v>
      </c>
      <c r="AZ458" s="136">
        <f t="shared" si="368"/>
        <v>0</v>
      </c>
      <c r="BA458" s="250">
        <f t="shared" si="369"/>
        <v>0</v>
      </c>
      <c r="BB458" s="236">
        <f t="shared" si="370"/>
        <v>2847.9196003034922</v>
      </c>
      <c r="BC458" s="251">
        <f>BC457</f>
        <v>195.79895339224973</v>
      </c>
      <c r="BF458" s="102"/>
      <c r="BG458" s="120"/>
      <c r="BH458" s="102"/>
      <c r="BI458" s="261"/>
      <c r="BJ458" s="119"/>
      <c r="BK458" s="261"/>
      <c r="BL458" s="102"/>
      <c r="BM458" s="119"/>
      <c r="BN458" s="123"/>
      <c r="BO458" s="123"/>
      <c r="BP458" s="123"/>
      <c r="BQ458" s="108"/>
      <c r="BR458" s="108"/>
      <c r="BS458" s="124"/>
      <c r="BT458" s="108"/>
      <c r="BU458" s="260"/>
      <c r="BV458" s="102"/>
      <c r="BW458" s="120"/>
      <c r="BX458" s="120"/>
      <c r="BY458" s="254"/>
      <c r="BZ458" s="254"/>
      <c r="CA458" s="253"/>
      <c r="CB458" s="256"/>
      <c r="CC458" s="256"/>
      <c r="CD458" s="257"/>
      <c r="CE458" s="255"/>
      <c r="CF458" s="255"/>
      <c r="CG458" s="126"/>
      <c r="CH458" s="209"/>
      <c r="CI458" s="256"/>
      <c r="CJ458" s="208"/>
      <c r="CK458" s="208"/>
      <c r="CL458" s="254"/>
      <c r="CM458" s="209"/>
      <c r="CN458" s="254"/>
      <c r="CO458" s="28"/>
      <c r="CP458" s="28"/>
      <c r="CQ458" s="28"/>
      <c r="CR458" s="28"/>
      <c r="CS458" s="28"/>
      <c r="CT458" s="28"/>
      <c r="CU458" s="28"/>
      <c r="CV458" s="28"/>
    </row>
    <row r="459" spans="1:100" ht="12" customHeight="1" x14ac:dyDescent="0.2">
      <c r="A459" s="200" t="s">
        <v>455</v>
      </c>
      <c r="B459" s="268">
        <f t="shared" si="371"/>
        <v>195.79895339224973</v>
      </c>
      <c r="C459" s="269">
        <f t="shared" si="372"/>
        <v>4.9800759878556411</v>
      </c>
      <c r="D459" s="270">
        <f t="shared" si="373"/>
        <v>2847.9196003034922</v>
      </c>
      <c r="E459" s="262">
        <f t="shared" si="374"/>
        <v>260.31529847693383</v>
      </c>
      <c r="F459" s="161">
        <f>F457</f>
        <v>2.0000000000000001E-4</v>
      </c>
      <c r="G459" s="118">
        <v>0</v>
      </c>
      <c r="H459" s="118">
        <f t="shared" si="348"/>
        <v>1.9499258439956736E-3</v>
      </c>
      <c r="I459" s="267">
        <f>I458+F459</f>
        <v>2.0000000000000001E-4</v>
      </c>
      <c r="J459" s="235">
        <f t="shared" si="349"/>
        <v>2.3690828171881608</v>
      </c>
      <c r="K459" s="243">
        <f t="shared" si="350"/>
        <v>0.30272993525875785</v>
      </c>
      <c r="L459" s="243">
        <f t="shared" si="351"/>
        <v>18.856368152932546</v>
      </c>
      <c r="M459" s="244">
        <f t="shared" si="352"/>
        <v>1.5944694000116843E-5</v>
      </c>
      <c r="N459" s="244">
        <f t="shared" si="353"/>
        <v>12667.059822356325</v>
      </c>
      <c r="O459" s="245">
        <f t="shared" si="354"/>
        <v>4.4080023629366187E-2</v>
      </c>
      <c r="P459" s="244">
        <f t="shared" si="355"/>
        <v>0.821267128026688</v>
      </c>
      <c r="Q459" s="246">
        <f t="shared" si="356"/>
        <v>1.013503473792525</v>
      </c>
      <c r="R459" s="235">
        <f t="shared" si="357"/>
        <v>3.47971723005032E-2</v>
      </c>
      <c r="S459" s="235">
        <f>IF(N459&lt;2500,($B$443/1000/I459)^0.333333,1+($B$443/1000/I459)^0.7)</f>
        <v>9.8706737385995513</v>
      </c>
      <c r="T459" s="235">
        <f>(S459*I459-S458*I458)/(I459-I458)</f>
        <v>9.8706737385995513</v>
      </c>
      <c r="U459" s="235">
        <f>IF($F459=0,0,(IF(N459&lt;2500,1.86*N459^0.33333*Q459^0.33333*T459*'Data Input'!B$47,0.023*N459^0.8*Q459^0.4)))</f>
        <v>44.279080110676098</v>
      </c>
      <c r="V459" s="235">
        <f t="shared" si="358"/>
        <v>340.79155532137054</v>
      </c>
      <c r="W459" s="271">
        <f t="shared" si="359"/>
        <v>4.8405244285417419</v>
      </c>
      <c r="X459" s="247">
        <f t="shared" si="375"/>
        <v>260.31529847693383</v>
      </c>
      <c r="Y459" s="136">
        <f>0.000000056703*$B$434*$H$440*$H$439*(($B$430)^4-(X459+273)^4)*(($B$427/1000*PI()/2)*($I459-$I458))*($B$433/1000)^2*PI()/4</f>
        <v>2.8014977278130418E-2</v>
      </c>
      <c r="Z459" s="136">
        <f>0.000000056703*$H$438*(($B$431)^4-(X459+273)^4)*($B$427/1000*PI())*($I459-$I458)</f>
        <v>3.4493287451579521E-2</v>
      </c>
      <c r="AA459" s="136">
        <f t="shared" si="360"/>
        <v>6.2508264729709939E-2</v>
      </c>
      <c r="AB459" s="250">
        <f t="shared" si="361"/>
        <v>6.2458588884528474E-2</v>
      </c>
      <c r="AC459" s="247">
        <f t="shared" si="362"/>
        <v>261.31529847693383</v>
      </c>
      <c r="AD459" s="136">
        <f>0.000000056703*$B$434*$H$440*$H$439*(($B$430)^4-(AC459+273)^4)*(($B$427/1000*PI()/2)*($I459-$I458))*($B$433/1000)^2*PI()/4</f>
        <v>2.8011015626777186E-2</v>
      </c>
      <c r="AE459" s="136">
        <f>0.000000056703*$H$438*(($B$431)^4-(AC459+273)^4)*($B$427/1000*PI())*($I459-$I458)</f>
        <v>3.4486376489006654E-2</v>
      </c>
      <c r="AF459" s="136">
        <f t="shared" si="363"/>
        <v>6.249739211578384E-2</v>
      </c>
      <c r="AG459" s="250">
        <f t="shared" si="364"/>
        <v>6.3426693770236825E-2</v>
      </c>
      <c r="AH459" s="247">
        <f>X459+(AA459-AB459)/(AA459-AB459-(AF459-AG459))</f>
        <v>260.36604105804525</v>
      </c>
      <c r="AI459" s="250">
        <f>$W459*($I459-$I458)*(AH459-$B459)</f>
        <v>6.2507713025215891E-2</v>
      </c>
      <c r="AJ459" s="238">
        <f t="shared" si="365"/>
        <v>2848.0067564456908</v>
      </c>
      <c r="AK459" s="250">
        <f>IF(AJ459&lt;(2677.2*C459^0.0161),100.55*C459^0.2536,(AJ459+9.0877*C459-2486.6)/(0.0199*C459+1.9776))</f>
        <v>195.82197969987479</v>
      </c>
      <c r="AL459" s="235">
        <f>(AL458+AK459)/2</f>
        <v>195.79061269232494</v>
      </c>
      <c r="AM459" s="247">
        <f>AH459</f>
        <v>260.36604105804525</v>
      </c>
      <c r="AN459" s="136">
        <f>0.000000056703*$B$434*$H$440*$H$439*(($B$430)^4-(AM459+273)^4)*(($B$427/1000*PI()/2)*($I459-$I458))*($B$433/1000)^2*PI()/4</f>
        <v>2.8014776789621817E-2</v>
      </c>
      <c r="AO459" s="136">
        <f>0.000000056703*$H$438*(($B$431)^4-(AM459+273)^4)*($B$427/1000*PI())*($I459-$I458)</f>
        <v>3.4492937706370859E-2</v>
      </c>
      <c r="AP459" s="136">
        <f t="shared" si="366"/>
        <v>6.2507714495992683E-2</v>
      </c>
      <c r="AQ459" s="250">
        <f>$W459*($I459-$I458)*(AM459-$B459)</f>
        <v>6.2507713025215891E-2</v>
      </c>
      <c r="AR459" s="247">
        <f>AM459+1</f>
        <v>261.36604105804525</v>
      </c>
      <c r="AS459" s="136">
        <f>0.000000056703*$B$434*$H$440*$H$439*(($B$430)^4-(AR459+273)^4)*(($B$427/1000*PI()/2)*($I459-$I458))*($B$433/1000)^2*PI()/4</f>
        <v>2.801081400842045E-2</v>
      </c>
      <c r="AT459" s="136">
        <f>0.000000056703*$H$438*(($B$431)^4-(AR459+273)^4)*($B$427/1000*PI())*($I459-$I458)</f>
        <v>3.4486024772817328E-2</v>
      </c>
      <c r="AU459" s="136">
        <f t="shared" si="367"/>
        <v>6.2496838781237782E-2</v>
      </c>
      <c r="AV459" s="250">
        <f>$W459*($I459-$I458)*(AR459-$B459)</f>
        <v>6.3475817910924243E-2</v>
      </c>
      <c r="AW459" s="247">
        <f>AM459+(AP459-AQ459)/(AP459-AQ459-(AU459-AV459))</f>
        <v>260.36604256040067</v>
      </c>
      <c r="AX459" s="136">
        <f>0.000000056703*$B$434*$H$440*$H$439*(($B$430)^4-(AW459+273)^4)*(($B$427/1000*PI()/2)*($I459-$I458))*($B$433/1000)^2*PI()/4</f>
        <v>2.8014776783685035E-2</v>
      </c>
      <c r="AY459" s="136">
        <f>0.000000056703*$H$438*(($B$431)^4-(AW459+273)^4)*($B$427/1000*PI())*($I459-$I458)</f>
        <v>3.4492937696014338E-2</v>
      </c>
      <c r="AZ459" s="136">
        <f t="shared" si="368"/>
        <v>6.2507714479699369E-2</v>
      </c>
      <c r="BA459" s="250">
        <f t="shared" si="369"/>
        <v>6.2507714479653517E-2</v>
      </c>
      <c r="BB459" s="236">
        <f t="shared" si="370"/>
        <v>2848.0067564477185</v>
      </c>
      <c r="BC459" s="251">
        <f>IF(BB459&lt;(2677.2*C459^0.0161),100.55*C459^0.2536,(BB459+9.0877*C459-2486.6)/(0.0199*C459+1.9776))</f>
        <v>195.82197970085119</v>
      </c>
      <c r="BF459" s="102"/>
      <c r="BG459" s="120"/>
      <c r="BH459" s="102"/>
      <c r="BI459" s="261"/>
      <c r="BJ459" s="119"/>
      <c r="BK459" s="261"/>
      <c r="BL459" s="102"/>
      <c r="BM459" s="119"/>
      <c r="BN459" s="123"/>
      <c r="BO459" s="123"/>
      <c r="BP459" s="123"/>
      <c r="BQ459" s="108"/>
      <c r="BR459" s="108"/>
      <c r="BS459" s="124"/>
      <c r="BT459" s="108"/>
      <c r="BU459" s="260"/>
      <c r="BV459" s="102"/>
      <c r="BW459" s="120"/>
      <c r="BX459" s="120"/>
      <c r="BY459" s="254"/>
      <c r="BZ459" s="254"/>
      <c r="CA459" s="253"/>
      <c r="CB459" s="256"/>
      <c r="CC459" s="256"/>
      <c r="CD459" s="257"/>
      <c r="CE459" s="255"/>
      <c r="CF459" s="255"/>
      <c r="CG459" s="126"/>
      <c r="CH459" s="209"/>
      <c r="CI459" s="256"/>
      <c r="CJ459" s="208"/>
      <c r="CK459" s="208"/>
      <c r="CL459" s="254"/>
      <c r="CM459" s="209"/>
      <c r="CN459" s="254"/>
      <c r="CO459" s="28"/>
      <c r="CP459" s="28"/>
      <c r="CQ459" s="28"/>
      <c r="CR459" s="28"/>
      <c r="CS459" s="28"/>
      <c r="CT459" s="28"/>
      <c r="CU459" s="28"/>
      <c r="CV459" s="28"/>
    </row>
    <row r="460" spans="1:100" ht="12" customHeight="1" x14ac:dyDescent="0.2">
      <c r="A460" s="200" t="s">
        <v>455</v>
      </c>
      <c r="B460" s="268">
        <f t="shared" si="371"/>
        <v>195.82197970085119</v>
      </c>
      <c r="C460" s="269">
        <f t="shared" si="372"/>
        <v>4.9800677751843612</v>
      </c>
      <c r="D460" s="270">
        <f t="shared" si="373"/>
        <v>2848.0067564477185</v>
      </c>
      <c r="E460" s="262">
        <f t="shared" si="374"/>
        <v>260.36604256040067</v>
      </c>
      <c r="F460" s="161">
        <f>F459</f>
        <v>2.0000000000000001E-4</v>
      </c>
      <c r="G460" s="118">
        <v>0</v>
      </c>
      <c r="H460" s="118">
        <f t="shared" si="348"/>
        <v>1.949936603718761E-3</v>
      </c>
      <c r="I460" s="267">
        <f>I459+F460</f>
        <v>4.0000000000000002E-4</v>
      </c>
      <c r="J460" s="235">
        <f t="shared" si="349"/>
        <v>2.3689477643393939</v>
      </c>
      <c r="K460" s="243">
        <f t="shared" si="350"/>
        <v>0.3027471937820479</v>
      </c>
      <c r="L460" s="243">
        <f t="shared" si="351"/>
        <v>18.857443147609416</v>
      </c>
      <c r="M460" s="244">
        <f t="shared" si="352"/>
        <v>1.5945649429905927E-5</v>
      </c>
      <c r="N460" s="244">
        <f t="shared" si="353"/>
        <v>12666.300838763491</v>
      </c>
      <c r="O460" s="245">
        <f t="shared" si="354"/>
        <v>4.4080266863666298E-2</v>
      </c>
      <c r="P460" s="244">
        <f t="shared" si="355"/>
        <v>0.82131848019033771</v>
      </c>
      <c r="Q460" s="246">
        <f t="shared" si="356"/>
        <v>1.0134811640036965</v>
      </c>
      <c r="R460" s="235">
        <f t="shared" si="357"/>
        <v>3.479901430314257E-2</v>
      </c>
      <c r="S460" s="235">
        <f>IF(N460&lt;2500,($B$443/1000/I460)^0.333333,1+($B$443/1000/I460)^0.7)</f>
        <v>6.4605402079411478</v>
      </c>
      <c r="T460" s="235">
        <f>(S460*I460-S459*I459)/(I460-I459)</f>
        <v>3.0504066772827425</v>
      </c>
      <c r="U460" s="235">
        <f>IF($F460=0,0,(IF(N460&lt;2500,1.86*N460^0.33333*Q460^0.33333*T460*'Data Input'!B$47,0.023*N460^0.8*Q460^0.4)))</f>
        <v>44.276567748500931</v>
      </c>
      <c r="V460" s="235">
        <f t="shared" si="358"/>
        <v>340.79025797888721</v>
      </c>
      <c r="W460" s="271">
        <f t="shared" si="359"/>
        <v>4.8405060013891772</v>
      </c>
      <c r="X460" s="247">
        <f t="shared" si="375"/>
        <v>260.36604256040067</v>
      </c>
      <c r="Y460" s="136">
        <f>0.000000056703*$B$434*$H$440*$H$439*(($B$430)^4-(X460+273)^4)*(($B$427/1000*PI()/2)*($I460-$I459))*($B$433/1000)^2*PI()/4</f>
        <v>2.8014776783685035E-2</v>
      </c>
      <c r="Z460" s="136">
        <f>0.000000056703*$H$438*(($B$431)^4-(X460+273)^4)*($B$427/1000*PI())*($I460-$I459)</f>
        <v>3.4492937696014338E-2</v>
      </c>
      <c r="AA460" s="136">
        <f t="shared" si="360"/>
        <v>6.2507714479699369E-2</v>
      </c>
      <c r="AB460" s="250">
        <f t="shared" si="361"/>
        <v>6.2485184725137921E-2</v>
      </c>
      <c r="AC460" s="247">
        <f t="shared" si="362"/>
        <v>261.36604256040067</v>
      </c>
      <c r="AD460" s="136">
        <f>0.000000056703*$B$434*$H$440*$H$439*(($B$430)^4-(AC460+273)^4)*(($B$427/1000*PI()/2)*($I460-$I459))*($B$433/1000)^2*PI()/4</f>
        <v>2.8010814002450212E-2</v>
      </c>
      <c r="AE460" s="136">
        <f>0.000000056703*$H$438*(($B$431)^4-(AC460+273)^4)*($B$427/1000*PI())*($I460-$I459)</f>
        <v>3.4486024762402444E-2</v>
      </c>
      <c r="AF460" s="136">
        <f t="shared" si="363"/>
        <v>6.2496838764852652E-2</v>
      </c>
      <c r="AG460" s="250">
        <f t="shared" si="364"/>
        <v>6.3453285925415756E-2</v>
      </c>
      <c r="AH460" s="247">
        <f>X460+(AA460-AB460)/(AA460-AB460-(AF460-AG460))</f>
        <v>260.3890561312146</v>
      </c>
      <c r="AI460" s="250">
        <f>$W460*($I460-$I459)*(AH460-$B460)</f>
        <v>6.2507464190665565E-2</v>
      </c>
      <c r="AJ460" s="238">
        <f t="shared" si="365"/>
        <v>2848.0939122429604</v>
      </c>
      <c r="AK460" s="250">
        <f>IF(AJ460&lt;(2677.2*C460^0.0161),100.55*C460^0.2536,(AJ460+9.0877*C460-2486.6)/(0.0199*C460+1.9776))</f>
        <v>195.86392751425029</v>
      </c>
      <c r="AL460" s="235">
        <f>(AL459+AK460)/2</f>
        <v>195.82727010328762</v>
      </c>
      <c r="AM460" s="247">
        <f>AH460</f>
        <v>260.3890561312146</v>
      </c>
      <c r="AN460" s="136">
        <f>0.000000056703*$B$434*$H$440*$H$439*(($B$430)^4-(AM460+273)^4)*(($B$427/1000*PI()/2)*($I460-$I459))*($B$433/1000)^2*PI()/4</f>
        <v>2.8014685836129979E-2</v>
      </c>
      <c r="AO460" s="136">
        <f>0.000000056703*$H$438*(($B$431)^4-(AM460+273)^4)*($B$427/1000*PI())*($I460-$I459)</f>
        <v>3.44927790411775E-2</v>
      </c>
      <c r="AP460" s="136">
        <f t="shared" si="366"/>
        <v>6.2507464877307475E-2</v>
      </c>
      <c r="AQ460" s="250">
        <f>$W460*($I460-$I459)*(AM460-$B460)</f>
        <v>6.2507464190665565E-2</v>
      </c>
      <c r="AR460" s="247">
        <f>AM460+1</f>
        <v>261.3890561312146</v>
      </c>
      <c r="AS460" s="136">
        <f>0.000000056703*$B$434*$H$440*$H$439*(($B$430)^4-(AR460+273)^4)*(($B$427/1000*PI()/2)*($I460-$I459))*($B$433/1000)^2*PI()/4</f>
        <v>2.8010722542397917E-2</v>
      </c>
      <c r="AT460" s="136">
        <f>0.000000056703*$H$438*(($B$431)^4-(AR460+273)^4)*($B$427/1000*PI())*($I460-$I459)</f>
        <v>3.4485865213532051E-2</v>
      </c>
      <c r="AU460" s="136">
        <f t="shared" si="367"/>
        <v>6.2496587755929964E-2</v>
      </c>
      <c r="AV460" s="250">
        <f>$W460*($I460-$I459)*(AR460-$B460)</f>
        <v>6.34755653909434E-2</v>
      </c>
      <c r="AW460" s="247">
        <f>AM460+(AP460-AQ460)/(AP460-AQ460-(AU460-AV460))</f>
        <v>260.38905683260083</v>
      </c>
      <c r="AX460" s="136">
        <f>0.000000056703*$B$434*$H$440*$H$439*(($B$430)^4-(AW460+273)^4)*(($B$427/1000*PI()/2)*($I460-$I459))*($B$433/1000)^2*PI()/4</f>
        <v>2.8014685833357984E-2</v>
      </c>
      <c r="AY460" s="136">
        <f>0.000000056703*$H$438*(($B$431)^4-(AW460+273)^4)*($B$427/1000*PI())*($I460-$I459)</f>
        <v>3.4492779036341854E-2</v>
      </c>
      <c r="AZ460" s="136">
        <f t="shared" si="368"/>
        <v>6.2507464869699839E-2</v>
      </c>
      <c r="BA460" s="250">
        <f t="shared" si="369"/>
        <v>6.2507464869678411E-2</v>
      </c>
      <c r="BB460" s="236">
        <f t="shared" si="370"/>
        <v>2848.0939122439072</v>
      </c>
      <c r="BC460" s="251">
        <f>IF(BB460&lt;(2677.2*C460^0.0161),100.55*C460^0.2536,(BB460+9.0877*C460-2486.6)/(0.0199*C460+1.9776))</f>
        <v>195.86392751470621</v>
      </c>
      <c r="BF460" s="102"/>
      <c r="BG460" s="120"/>
      <c r="BH460" s="102"/>
      <c r="BI460" s="261"/>
      <c r="BJ460" s="119"/>
      <c r="BK460" s="261"/>
      <c r="BL460" s="102"/>
      <c r="BM460" s="119"/>
      <c r="BN460" s="123"/>
      <c r="BO460" s="123"/>
      <c r="BP460" s="123"/>
      <c r="BQ460" s="108"/>
      <c r="BR460" s="108"/>
      <c r="BS460" s="124"/>
      <c r="BT460" s="108"/>
      <c r="BU460" s="260"/>
      <c r="BV460" s="102"/>
      <c r="BW460" s="120"/>
      <c r="BX460" s="120"/>
      <c r="BY460" s="254"/>
      <c r="BZ460" s="254"/>
      <c r="CA460" s="253"/>
      <c r="CB460" s="256"/>
      <c r="CC460" s="256"/>
      <c r="CD460" s="257"/>
      <c r="CE460" s="255"/>
      <c r="CM460" s="209"/>
      <c r="CN460" s="254"/>
      <c r="CO460" s="28"/>
      <c r="CP460" s="28"/>
      <c r="CQ460" s="28"/>
      <c r="CR460" s="28"/>
      <c r="CS460" s="28"/>
      <c r="CT460" s="28"/>
      <c r="CU460" s="28"/>
      <c r="CV460" s="28"/>
    </row>
    <row r="461" spans="1:100" ht="12" customHeight="1" x14ac:dyDescent="0.2">
      <c r="A461" s="200" t="s">
        <v>455</v>
      </c>
      <c r="B461" s="268">
        <f t="shared" si="371"/>
        <v>195.86392751470621</v>
      </c>
      <c r="C461" s="269">
        <f t="shared" si="372"/>
        <v>4.9800595619995596</v>
      </c>
      <c r="D461" s="270">
        <f t="shared" si="373"/>
        <v>2848.0939122439072</v>
      </c>
      <c r="E461" s="262">
        <f t="shared" si="374"/>
        <v>260.38905683260083</v>
      </c>
      <c r="F461" s="161">
        <f>F460</f>
        <v>2.0000000000000001E-4</v>
      </c>
      <c r="G461" s="118">
        <v>0</v>
      </c>
      <c r="H461" s="118">
        <f t="shared" si="348"/>
        <v>1.9499562047270037E-3</v>
      </c>
      <c r="I461" s="267">
        <f>I460+F461</f>
        <v>6.0000000000000006E-4</v>
      </c>
      <c r="J461" s="235">
        <f t="shared" si="349"/>
        <v>2.3687050885407186</v>
      </c>
      <c r="K461" s="243">
        <f t="shared" si="350"/>
        <v>0.30277821048286185</v>
      </c>
      <c r="L461" s="243">
        <f t="shared" si="351"/>
        <v>18.859375108282343</v>
      </c>
      <c r="M461" s="244">
        <f t="shared" si="352"/>
        <v>1.5947389969730063E-5</v>
      </c>
      <c r="N461" s="244">
        <f t="shared" si="353"/>
        <v>12664.918405583127</v>
      </c>
      <c r="O461" s="245">
        <f t="shared" si="354"/>
        <v>4.4080709964058634E-2</v>
      </c>
      <c r="P461" s="244">
        <f t="shared" si="355"/>
        <v>0.82141088179165744</v>
      </c>
      <c r="Q461" s="246">
        <f t="shared" si="356"/>
        <v>1.0134406224636918</v>
      </c>
      <c r="R461" s="235">
        <f t="shared" si="357"/>
        <v>3.4802373190723344E-2</v>
      </c>
      <c r="S461" s="235">
        <f>IF(N461&lt;2500,($B$443/1000/I461)^0.333333,1+($B$443/1000/I461)^0.7)</f>
        <v>5.1112295665181833</v>
      </c>
      <c r="T461" s="235">
        <f>(S461*I461-S460*I460)/(I461-I460)</f>
        <v>2.4126082836722555</v>
      </c>
      <c r="U461" s="235">
        <f>IF($F461=0,0,(IF(N461&lt;2500,1.86*N461^0.33333*Q461^0.33333*T461*'Data Input'!B$47,0.023*N461^0.8*Q461^0.4)))</f>
        <v>44.271993326234693</v>
      </c>
      <c r="V461" s="235">
        <f t="shared" si="358"/>
        <v>340.78793984712757</v>
      </c>
      <c r="W461" s="271">
        <f t="shared" si="359"/>
        <v>4.8404730751818352</v>
      </c>
      <c r="X461" s="247">
        <f t="shared" si="375"/>
        <v>260.38905683260083</v>
      </c>
      <c r="Y461" s="136">
        <f>0.000000056703*$B$434*$H$440*$H$439*(($B$430)^4-(X461+273)^4)*(($B$427/1000*PI()/2)*($I461-$I460))*($B$433/1000)^2*PI()/4</f>
        <v>2.8014685833357991E-2</v>
      </c>
      <c r="Z461" s="136">
        <f>0.000000056703*$H$438*(($B$431)^4-(X461+273)^4)*($B$427/1000*PI())*($I461-$I460)</f>
        <v>3.4492779036341861E-2</v>
      </c>
      <c r="AA461" s="136">
        <f t="shared" si="360"/>
        <v>6.2507464869699852E-2</v>
      </c>
      <c r="AB461" s="250">
        <f t="shared" si="361"/>
        <v>6.2466430227179008E-2</v>
      </c>
      <c r="AC461" s="247">
        <f t="shared" si="362"/>
        <v>261.38905683260083</v>
      </c>
      <c r="AD461" s="136">
        <f>0.000000056703*$B$434*$H$440*$H$439*(($B$430)^4-(AC461+273)^4)*(($B$427/1000*PI()/2)*($I461-$I460))*($B$433/1000)^2*PI()/4</f>
        <v>2.801072253961031E-2</v>
      </c>
      <c r="AE461" s="136">
        <f>0.000000056703*$H$438*(($B$431)^4-(AC461+273)^4)*($B$427/1000*PI())*($I461-$I460)</f>
        <v>3.4485865208669163E-2</v>
      </c>
      <c r="AF461" s="136">
        <f t="shared" si="363"/>
        <v>6.2496587748279472E-2</v>
      </c>
      <c r="AG461" s="250">
        <f t="shared" si="364"/>
        <v>6.3434524842215373E-2</v>
      </c>
      <c r="AH461" s="247">
        <f>X461+(AA461-AB461)/(AA461-AB461-(AF461-AG461))</f>
        <v>260.43097289717423</v>
      </c>
      <c r="AI461" s="250">
        <f>$W461*($I461-$I460)*(AH461-$B461)</f>
        <v>6.2507008943576026E-2</v>
      </c>
      <c r="AJ461" s="238">
        <f t="shared" si="365"/>
        <v>2848.1810674043863</v>
      </c>
      <c r="AK461" s="250">
        <f>IF(AJ461&lt;(2677.2*C461^0.0161),100.55*C461^0.2536,(AJ461+9.0877*C461-2486.6)/(0.0199*C461+1.9776))</f>
        <v>195.905875027766</v>
      </c>
      <c r="AL461" s="235">
        <f>(AL460+AK461)/2</f>
        <v>195.86657256552681</v>
      </c>
      <c r="AM461" s="247">
        <f>AH461</f>
        <v>260.43097289717423</v>
      </c>
      <c r="AN461" s="136">
        <f>0.000000056703*$B$434*$H$440*$H$439*(($B$430)^4-(AM461+273)^4)*(($B$427/1000*PI()/2)*($I461-$I460))*($B$433/1000)^2*PI()/4</f>
        <v>2.8014520154603414E-2</v>
      </c>
      <c r="AO461" s="136">
        <f>0.000000056703*$H$438*(($B$431)^4-(AM461+273)^4)*($B$427/1000*PI())*($I461-$I460)</f>
        <v>3.4492490015534644E-2</v>
      </c>
      <c r="AP461" s="136">
        <f t="shared" si="366"/>
        <v>6.2507010170138058E-2</v>
      </c>
      <c r="AQ461" s="250">
        <f>$W461*($I461-$I460)*(AM461-$B461)</f>
        <v>6.2507008943576026E-2</v>
      </c>
      <c r="AR461" s="247">
        <f>AM461+1</f>
        <v>261.43097289717423</v>
      </c>
      <c r="AS461" s="136">
        <f>0.000000056703*$B$434*$H$440*$H$439*(($B$430)^4-(AR461+273)^4)*(($B$427/1000*PI()/2)*($I461-$I460))*($B$433/1000)^2*PI()/4</f>
        <v>2.801055592729873E-2</v>
      </c>
      <c r="AT461" s="136">
        <f>0.000000056703*$H$438*(($B$431)^4-(AR461+273)^4)*($B$427/1000*PI())*($I461-$I460)</f>
        <v>3.4485574559304323E-2</v>
      </c>
      <c r="AU461" s="136">
        <f t="shared" si="367"/>
        <v>6.2496130486603053E-2</v>
      </c>
      <c r="AV461" s="250">
        <f>$W461*($I461-$I460)*(AR461-$B461)</f>
        <v>6.3475103558612397E-2</v>
      </c>
      <c r="AW461" s="247">
        <f>AM461+(AP461-AQ461)/(AP461-AQ461-(AU461-AV461))</f>
        <v>260.43097415007946</v>
      </c>
      <c r="AX461" s="136">
        <f>0.000000056703*$B$434*$H$440*$H$439*(($B$430)^4-(AW461+273)^4)*(($B$427/1000*PI()/2)*($I461-$I460))*($B$433/1000)^2*PI()/4</f>
        <v>2.8014520149650557E-2</v>
      </c>
      <c r="AY461" s="136">
        <f>0.000000056703*$H$438*(($B$431)^4-(AW461+273)^4)*($B$427/1000*PI())*($I461-$I460)</f>
        <v>3.4492490006894562E-2</v>
      </c>
      <c r="AZ461" s="136">
        <f t="shared" si="368"/>
        <v>6.2507010156545112E-2</v>
      </c>
      <c r="BA461" s="250">
        <f t="shared" si="369"/>
        <v>6.2507010156506837E-2</v>
      </c>
      <c r="BB461" s="236">
        <f t="shared" si="370"/>
        <v>2848.1810674060775</v>
      </c>
      <c r="BC461" s="251">
        <f>IF(BB461&lt;(2677.2*C461^0.0161),100.55*C461^0.2536,(BB461+9.0877*C461-2486.6)/(0.0199*C461+1.9776))</f>
        <v>195.90587502858037</v>
      </c>
      <c r="BF461" s="102"/>
      <c r="BG461" s="120"/>
      <c r="BH461" s="102"/>
      <c r="BI461" s="261"/>
      <c r="BJ461" s="119"/>
      <c r="BK461" s="261"/>
      <c r="BL461" s="102"/>
      <c r="BM461" s="119"/>
      <c r="BN461" s="123"/>
      <c r="BO461" s="123"/>
      <c r="BP461" s="123"/>
      <c r="BQ461" s="108"/>
      <c r="BR461" s="108"/>
      <c r="BS461" s="124"/>
      <c r="BT461" s="108"/>
      <c r="BU461" s="260"/>
      <c r="BV461" s="102"/>
      <c r="BW461" s="120"/>
      <c r="BX461" s="120"/>
      <c r="BY461" s="254"/>
      <c r="BZ461" s="254"/>
      <c r="CA461" s="253"/>
      <c r="CB461" s="256"/>
      <c r="CC461" s="256"/>
      <c r="CD461" s="257"/>
      <c r="CE461" s="255"/>
      <c r="CM461" s="209"/>
      <c r="CN461" s="254"/>
      <c r="CO461" s="28"/>
      <c r="CP461" s="28"/>
      <c r="CQ461" s="28"/>
      <c r="CR461" s="28"/>
      <c r="CS461" s="28"/>
      <c r="CT461" s="28"/>
      <c r="CU461" s="28"/>
      <c r="CV461" s="28"/>
    </row>
    <row r="462" spans="1:100" ht="12" customHeight="1" x14ac:dyDescent="0.2">
      <c r="A462" s="200" t="s">
        <v>455</v>
      </c>
      <c r="B462" s="268">
        <f t="shared" si="371"/>
        <v>195.90587502858037</v>
      </c>
      <c r="C462" s="269">
        <f t="shared" si="372"/>
        <v>4.9800513478907416</v>
      </c>
      <c r="D462" s="270">
        <f t="shared" si="373"/>
        <v>2848.1810674060775</v>
      </c>
      <c r="E462" s="262">
        <f t="shared" si="374"/>
        <v>260.43097415007946</v>
      </c>
      <c r="F462" s="161">
        <f>F461</f>
        <v>2.0000000000000001E-4</v>
      </c>
      <c r="G462" s="118">
        <v>0</v>
      </c>
      <c r="H462" s="118">
        <f t="shared" si="348"/>
        <v>1.9499758051467072E-3</v>
      </c>
      <c r="I462" s="267">
        <f>I461+F462</f>
        <v>8.0000000000000004E-4</v>
      </c>
      <c r="J462" s="235">
        <f t="shared" si="349"/>
        <v>2.3684624701625818</v>
      </c>
      <c r="K462" s="243">
        <f t="shared" si="350"/>
        <v>0.30280922619845285</v>
      </c>
      <c r="L462" s="243">
        <f t="shared" si="351"/>
        <v>18.861307007587939</v>
      </c>
      <c r="M462" s="244">
        <f t="shared" si="352"/>
        <v>1.5949130498014385E-5</v>
      </c>
      <c r="N462" s="244">
        <f t="shared" si="353"/>
        <v>12663.536283297133</v>
      </c>
      <c r="O462" s="245">
        <f t="shared" si="354"/>
        <v>4.408115305114646E-2</v>
      </c>
      <c r="P462" s="244">
        <f t="shared" si="355"/>
        <v>0.8215032821638486</v>
      </c>
      <c r="Q462" s="246">
        <f t="shared" si="356"/>
        <v>1.0134000909682244</v>
      </c>
      <c r="R462" s="235">
        <f t="shared" si="357"/>
        <v>3.4805732368160654E-2</v>
      </c>
      <c r="S462" s="235">
        <f>IF(N462&lt;2500,($B$443/1000/I462)^0.333333,1+($B$443/1000/I462)^0.7)</f>
        <v>4.3613567854260156</v>
      </c>
      <c r="T462" s="235">
        <f>(S462*I462-S461*I461)/(I462-I461)</f>
        <v>2.1117384421495125</v>
      </c>
      <c r="U462" s="235">
        <f>IF($F462=0,0,(IF(N462&lt;2500,1.86*N462^0.33333*Q462^0.33333*T462*'Data Input'!B$47,0.023*N462^0.8*Q462^0.4)))</f>
        <v>44.267419971221699</v>
      </c>
      <c r="V462" s="235">
        <f t="shared" si="358"/>
        <v>340.78562597259855</v>
      </c>
      <c r="W462" s="271">
        <f t="shared" si="359"/>
        <v>4.8404402094432104</v>
      </c>
      <c r="X462" s="247">
        <f t="shared" si="375"/>
        <v>260.43097415007946</v>
      </c>
      <c r="Y462" s="136">
        <f>0.000000056703*$B$434*$H$440*$H$439*(($B$430)^4-(X462+273)^4)*(($B$427/1000*PI()/2)*($I462-$I461))*($B$433/1000)^2*PI()/4</f>
        <v>2.8014520149650557E-2</v>
      </c>
      <c r="Z462" s="136">
        <f>0.000000056703*$H$438*(($B$431)^4-(X462+273)^4)*($B$427/1000*PI())*($I462-$I461)</f>
        <v>3.4492490006894548E-2</v>
      </c>
      <c r="AA462" s="136">
        <f t="shared" si="360"/>
        <v>6.2507010156545112E-2</v>
      </c>
      <c r="AB462" s="250">
        <f t="shared" si="361"/>
        <v>6.2465976861202588E-2</v>
      </c>
      <c r="AC462" s="247">
        <f t="shared" si="362"/>
        <v>261.43097415007946</v>
      </c>
      <c r="AD462" s="136">
        <f>0.000000056703*$B$434*$H$440*$H$439*(($B$430)^4-(AC462+273)^4)*(($B$427/1000*PI()/2)*($I462-$I461))*($B$433/1000)^2*PI()/4</f>
        <v>2.8010555922317965E-2</v>
      </c>
      <c r="AE462" s="136">
        <f>0.000000056703*$H$438*(($B$431)^4-(AC462+273)^4)*($B$427/1000*PI())*($I462-$I461)</f>
        <v>3.4485574550615558E-2</v>
      </c>
      <c r="AF462" s="136">
        <f t="shared" si="363"/>
        <v>6.2496130472933523E-2</v>
      </c>
      <c r="AG462" s="250">
        <f t="shared" si="364"/>
        <v>6.3434064903091239E-2</v>
      </c>
      <c r="AH462" s="247">
        <f>X462+(AA462-AB462)/(AA462-AB462-(AF462-AG462))</f>
        <v>260.47288901026707</v>
      </c>
      <c r="AI462" s="250">
        <f>$W462*($I462-$I461)*(AH462-$B462)</f>
        <v>6.2506554136127643E-2</v>
      </c>
      <c r="AJ462" s="238">
        <f t="shared" si="365"/>
        <v>2848.2682219324065</v>
      </c>
      <c r="AK462" s="250">
        <f>IF(AJ462&lt;(2677.2*C462^0.0161),100.55*C462^0.2536,(AJ462+9.0877*C462-2486.6)/(0.0199*C462+1.9776))</f>
        <v>195.94782224057016</v>
      </c>
      <c r="AL462" s="235">
        <f>(AL461+AK462)/2</f>
        <v>195.90719740304849</v>
      </c>
      <c r="AM462" s="247">
        <f>AH462</f>
        <v>260.47288901026707</v>
      </c>
      <c r="AN462" s="136">
        <f>0.000000056703*$B$434*$H$440*$H$439*(($B$430)^4-(AM462+273)^4)*(($B$427/1000*PI()/2)*($I462-$I461))*($B$433/1000)^2*PI()/4</f>
        <v>2.801435443659615E-2</v>
      </c>
      <c r="AO462" s="136">
        <f>0.000000056703*$H$438*(($B$431)^4-(AM462+273)^4)*($B$427/1000*PI())*($I462-$I461)</f>
        <v>3.4492200926252492E-2</v>
      </c>
      <c r="AP462" s="136">
        <f t="shared" si="366"/>
        <v>6.2506555362848645E-2</v>
      </c>
      <c r="AQ462" s="250">
        <f>$W462*($I462-$I461)*(AM462-$B462)</f>
        <v>6.2506554136127643E-2</v>
      </c>
      <c r="AR462" s="247">
        <f>AM462+1</f>
        <v>261.47288901026707</v>
      </c>
      <c r="AS462" s="136">
        <f>0.000000056703*$B$434*$H$440*$H$439*(($B$430)^4-(AR462+273)^4)*(($B$427/1000*PI()/2)*($I462-$I461))*($B$433/1000)^2*PI()/4</f>
        <v>2.8010389275586793E-2</v>
      </c>
      <c r="AT462" s="136">
        <f>0.000000056703*$H$438*(($B$431)^4-(AR462+273)^4)*($B$427/1000*PI())*($I462-$I461)</f>
        <v>3.448528384120695E-2</v>
      </c>
      <c r="AU462" s="136">
        <f t="shared" si="367"/>
        <v>6.2495673116793743E-2</v>
      </c>
      <c r="AV462" s="250">
        <f>$W462*($I462-$I461)*(AR462-$B462)</f>
        <v>6.347464217801628E-2</v>
      </c>
      <c r="AW462" s="247">
        <f>AM462+(AP462-AQ462)/(AP462-AQ462-(AU462-AV462))</f>
        <v>260.47289026333982</v>
      </c>
      <c r="AX462" s="136">
        <f>0.000000056703*$B$434*$H$440*$H$439*(($B$430)^4-(AW462+273)^4)*(($B$427/1000*PI()/2)*($I462-$I461))*($B$433/1000)^2*PI()/4</f>
        <v>2.801435443164146E-2</v>
      </c>
      <c r="AY462" s="136">
        <f>0.000000056703*$H$438*(($B$431)^4-(AW462+273)^4)*($B$427/1000*PI())*($I462-$I461)</f>
        <v>3.4492200917609205E-2</v>
      </c>
      <c r="AZ462" s="136">
        <f t="shared" si="368"/>
        <v>6.2506555349250661E-2</v>
      </c>
      <c r="BA462" s="250">
        <f t="shared" si="369"/>
        <v>6.2506555349212387E-2</v>
      </c>
      <c r="BB462" s="236">
        <f t="shared" si="370"/>
        <v>2848.2682219340982</v>
      </c>
      <c r="BC462" s="251">
        <f>IF(BB462&lt;(2677.2*C462^0.0161),100.55*C462^0.2536,(BB462+9.0877*C462-2486.6)/(0.0199*C462+1.9776))</f>
        <v>195.94782224138476</v>
      </c>
      <c r="BF462" s="102"/>
      <c r="BG462" s="120"/>
      <c r="BH462" s="102"/>
      <c r="BI462" s="261"/>
      <c r="BJ462" s="119"/>
      <c r="BK462" s="261"/>
      <c r="BL462" s="102"/>
      <c r="BM462" s="119"/>
      <c r="BN462" s="123"/>
      <c r="BO462" s="123"/>
      <c r="BP462" s="123"/>
      <c r="BQ462" s="108"/>
      <c r="BR462" s="108"/>
      <c r="BS462" s="124"/>
      <c r="BT462" s="108"/>
      <c r="BU462" s="260"/>
      <c r="BV462" s="102"/>
      <c r="BW462" s="120"/>
      <c r="BX462" s="120"/>
      <c r="BY462" s="254"/>
      <c r="BZ462" s="254"/>
      <c r="CA462" s="253"/>
      <c r="CB462" s="256"/>
      <c r="CC462" s="256"/>
      <c r="CD462" s="257"/>
      <c r="CE462" s="255"/>
      <c r="CL462" s="254"/>
      <c r="CM462" s="209"/>
      <c r="CN462" s="254"/>
      <c r="CO462" s="28"/>
      <c r="CP462" s="28"/>
      <c r="CQ462" s="28"/>
      <c r="CR462" s="28"/>
      <c r="CS462" s="28"/>
      <c r="CT462" s="28"/>
      <c r="CU462" s="28"/>
      <c r="CV462" s="28"/>
    </row>
    <row r="463" spans="1:100" ht="12" customHeight="1" x14ac:dyDescent="0.2">
      <c r="A463" s="200" t="s">
        <v>455</v>
      </c>
      <c r="B463" s="268">
        <f t="shared" si="371"/>
        <v>195.94782224138476</v>
      </c>
      <c r="C463" s="269">
        <f t="shared" si="372"/>
        <v>4.9800431328579196</v>
      </c>
      <c r="D463" s="270">
        <f t="shared" si="373"/>
        <v>2848.2682219340982</v>
      </c>
      <c r="E463" s="262">
        <f t="shared" si="374"/>
        <v>260.47289026333982</v>
      </c>
      <c r="F463" s="161">
        <f>F462</f>
        <v>2.0000000000000001E-4</v>
      </c>
      <c r="G463" s="118">
        <v>0</v>
      </c>
      <c r="H463" s="118">
        <f t="shared" si="348"/>
        <v>1.9499954049774174E-3</v>
      </c>
      <c r="I463" s="267">
        <f>I462+F463</f>
        <v>1E-3</v>
      </c>
      <c r="J463" s="235">
        <f t="shared" si="349"/>
        <v>2.3682199091876743</v>
      </c>
      <c r="K463" s="243">
        <f t="shared" si="350"/>
        <v>0.3028402409284755</v>
      </c>
      <c r="L463" s="243">
        <f t="shared" si="351"/>
        <v>18.8632388455047</v>
      </c>
      <c r="M463" s="244">
        <f t="shared" si="352"/>
        <v>1.5950871014713695E-5</v>
      </c>
      <c r="N463" s="244">
        <f t="shared" si="353"/>
        <v>12662.154471836613</v>
      </c>
      <c r="O463" s="245">
        <f t="shared" si="354"/>
        <v>4.4081596124919492E-2</v>
      </c>
      <c r="P463" s="244">
        <f t="shared" si="355"/>
        <v>0.82159568130562644</v>
      </c>
      <c r="Q463" s="246">
        <f t="shared" si="356"/>
        <v>1.0133595695181072</v>
      </c>
      <c r="R463" s="235">
        <f t="shared" si="357"/>
        <v>3.4809091835360295E-2</v>
      </c>
      <c r="S463" s="235">
        <f>IF(N463&lt;2500,($B$443/1000/I463)^0.333333,1+($B$443/1000/I463)^0.7)</f>
        <v>3.8752631823141215</v>
      </c>
      <c r="T463" s="235">
        <f>(S463*I463-S462*I462)/(I463-I462)</f>
        <v>1.9308887698665445</v>
      </c>
      <c r="U463" s="235">
        <f>IF($F463=0,0,(IF(N463&lt;2500,1.86*N463^0.33333*Q463^0.33333*T463*'Data Input'!B$47,0.023*N463^0.8*Q463^0.4)))</f>
        <v>44.262847683261647</v>
      </c>
      <c r="V463" s="235">
        <f t="shared" si="358"/>
        <v>340.783316354335</v>
      </c>
      <c r="W463" s="271">
        <f t="shared" si="359"/>
        <v>4.8404074041595981</v>
      </c>
      <c r="X463" s="247">
        <f t="shared" si="375"/>
        <v>260.47289026333982</v>
      </c>
      <c r="Y463" s="136">
        <f>0.000000056703*$B$434*$H$440*$H$439*(($B$430)^4-(X463+273)^4)*(($B$427/1000*PI()/2)*($I463-$I462))*($B$433/1000)^2*PI()/4</f>
        <v>2.801435443164146E-2</v>
      </c>
      <c r="Z463" s="136">
        <f>0.000000056703*$H$438*(($B$431)^4-(X463+273)^4)*($B$427/1000*PI())*($I463-$I462)</f>
        <v>3.4492200917609205E-2</v>
      </c>
      <c r="AA463" s="136">
        <f t="shared" si="360"/>
        <v>6.2506555349250661E-2</v>
      </c>
      <c r="AB463" s="250">
        <f t="shared" si="361"/>
        <v>6.2465523401474592E-2</v>
      </c>
      <c r="AC463" s="247">
        <f t="shared" si="362"/>
        <v>261.47289026333982</v>
      </c>
      <c r="AD463" s="136">
        <f>0.000000056703*$B$434*$H$440*$H$439*(($B$430)^4-(AC463+273)^4)*(($B$427/1000*PI()/2)*($I463-$I462))*($B$433/1000)^2*PI()/4</f>
        <v>2.8010389270604185E-2</v>
      </c>
      <c r="AE463" s="136">
        <f>0.000000056703*$H$438*(($B$431)^4-(AC463+273)^4)*($B$427/1000*PI())*($I463-$I462)</f>
        <v>3.4485283832514972E-2</v>
      </c>
      <c r="AF463" s="136">
        <f t="shared" si="363"/>
        <v>6.2495673103119154E-2</v>
      </c>
      <c r="AG463" s="250">
        <f t="shared" si="364"/>
        <v>6.343360488230651E-2</v>
      </c>
      <c r="AH463" s="247">
        <f>X463+(AA463-AB463)/(AA463-AB463-(AF463-AG463))</f>
        <v>260.51480391820354</v>
      </c>
      <c r="AI463" s="250">
        <f>$W463*($I463-$I462)*(AH463-$B463)</f>
        <v>6.2506099234542145E-2</v>
      </c>
      <c r="AJ463" s="238">
        <f t="shared" si="365"/>
        <v>2848.355375826146</v>
      </c>
      <c r="AK463" s="250">
        <f>IF(AJ463&lt;(2677.2*C463^0.0161),100.55*C463^0.2536,(AJ463+9.0877*C463-2486.6)/(0.0199*C463+1.9776))</f>
        <v>195.98976915224321</v>
      </c>
      <c r="AL463" s="235">
        <f>(AL462+AK463)/2</f>
        <v>195.94848327764583</v>
      </c>
      <c r="AM463" s="247">
        <f>AH463</f>
        <v>260.51480391820354</v>
      </c>
      <c r="AN463" s="136">
        <f>0.000000056703*$B$434*$H$440*$H$439*(($B$430)^4-(AM463+273)^4)*(($B$427/1000*PI()/2)*($I463-$I462))*($B$433/1000)^2*PI()/4</f>
        <v>2.801418868428817E-2</v>
      </c>
      <c r="AO463" s="136">
        <f>0.000000056703*$H$438*(($B$431)^4-(AM463+273)^4)*($B$427/1000*PI())*($I463-$I462)</f>
        <v>3.4491911777133934E-2</v>
      </c>
      <c r="AP463" s="136">
        <f t="shared" si="366"/>
        <v>6.2506100461422104E-2</v>
      </c>
      <c r="AQ463" s="250">
        <f>$W463*($I463-$I462)*(AM463-$B463)</f>
        <v>6.2506099234542145E-2</v>
      </c>
      <c r="AR463" s="247">
        <f>AM463+1</f>
        <v>261.51480391820354</v>
      </c>
      <c r="AS463" s="136">
        <f>0.000000056703*$B$434*$H$440*$H$439*(($B$430)^4-(AR463+273)^4)*(($B$427/1000*PI()/2)*($I463-$I462))*($B$433/1000)^2*PI()/4</f>
        <v>2.8010222589454389E-2</v>
      </c>
      <c r="AT463" s="136">
        <f>0.000000056703*$H$438*(($B$431)^4-(AR463+273)^4)*($B$427/1000*PI())*($I463-$I462)</f>
        <v>3.4484993063064268E-2</v>
      </c>
      <c r="AU463" s="136">
        <f t="shared" si="367"/>
        <v>6.2495215652518657E-2</v>
      </c>
      <c r="AV463" s="250">
        <f>$W463*($I463-$I462)*(AR463-$B463)</f>
        <v>6.3474180715374057E-2</v>
      </c>
      <c r="AW463" s="247">
        <f>AM463+(AP463-AQ463)/(AP463-AQ463-(AU463-AV463))</f>
        <v>260.51480517144381</v>
      </c>
      <c r="AX463" s="136">
        <f>0.000000056703*$B$434*$H$440*$H$439*(($B$430)^4-(AW463+273)^4)*(($B$427/1000*PI()/2)*($I463-$I462))*($B$433/1000)^2*PI()/4</f>
        <v>2.8014188679331652E-2</v>
      </c>
      <c r="AY463" s="136">
        <f>0.000000056703*$H$438*(($B$431)^4-(AW463+273)^4)*($B$427/1000*PI())*($I463-$I462)</f>
        <v>3.4491911768487461E-2</v>
      </c>
      <c r="AZ463" s="136">
        <f t="shared" si="368"/>
        <v>6.250610044781911E-2</v>
      </c>
      <c r="BA463" s="250">
        <f t="shared" si="369"/>
        <v>6.2506100447780835E-2</v>
      </c>
      <c r="BB463" s="236">
        <f t="shared" si="370"/>
        <v>2848.3553758278376</v>
      </c>
      <c r="BC463" s="251">
        <f>IF(BB463&lt;(2677.2*C463^0.0161),100.55*C463^0.2536,(BB463+9.0877*C463-2486.6)/(0.0199*C463+1.9776))</f>
        <v>195.98976915305778</v>
      </c>
      <c r="BF463" s="102"/>
      <c r="BG463" s="120"/>
      <c r="BH463" s="102"/>
      <c r="BI463" s="261"/>
      <c r="BJ463" s="119"/>
      <c r="BK463" s="261"/>
      <c r="BL463" s="102"/>
      <c r="BM463" s="119"/>
      <c r="BN463" s="123"/>
      <c r="BO463" s="123"/>
      <c r="BP463" s="123"/>
      <c r="BQ463" s="108"/>
      <c r="BR463" s="108"/>
      <c r="BS463" s="124"/>
      <c r="BT463" s="108"/>
      <c r="BU463" s="260"/>
      <c r="BV463" s="102"/>
      <c r="BW463" s="120"/>
      <c r="BX463" s="120"/>
      <c r="BY463" s="254"/>
      <c r="BZ463" s="254"/>
      <c r="CA463" s="253"/>
      <c r="CB463" s="256"/>
      <c r="CC463" s="256"/>
      <c r="CD463" s="257"/>
      <c r="CE463" s="255"/>
      <c r="CL463" s="254"/>
      <c r="CM463" s="209"/>
      <c r="CN463" s="254"/>
      <c r="CO463" s="28"/>
      <c r="CP463" s="28"/>
      <c r="CQ463" s="28"/>
      <c r="CR463" s="28"/>
      <c r="CS463" s="28"/>
      <c r="CT463" s="28"/>
      <c r="CU463" s="28"/>
      <c r="CV463" s="28"/>
    </row>
    <row r="464" spans="1:100" ht="12" customHeight="1" x14ac:dyDescent="0.2">
      <c r="A464" s="187"/>
      <c r="B464" s="268">
        <f t="shared" si="371"/>
        <v>195.98976915305778</v>
      </c>
      <c r="C464" s="269">
        <f t="shared" si="372"/>
        <v>4.9800349169011069</v>
      </c>
      <c r="D464" s="270">
        <f t="shared" si="373"/>
        <v>2848.3553758278376</v>
      </c>
      <c r="E464" s="262"/>
      <c r="F464" s="112"/>
      <c r="G464" s="116"/>
      <c r="H464" s="109"/>
      <c r="I464" s="109"/>
      <c r="J464" s="116"/>
      <c r="K464" s="116"/>
      <c r="L464" s="14"/>
      <c r="M464" s="109"/>
      <c r="N464" s="109"/>
      <c r="O464" s="14"/>
      <c r="P464" s="14"/>
      <c r="Q464" s="175"/>
      <c r="R464" s="14"/>
      <c r="S464" s="14"/>
      <c r="T464" s="108"/>
      <c r="U464" s="14"/>
      <c r="V464" s="175"/>
      <c r="W464" s="14"/>
      <c r="X464" s="14"/>
      <c r="Y464" s="108"/>
      <c r="AB464" s="14"/>
      <c r="AC464" s="175"/>
      <c r="AF464" s="14"/>
      <c r="AG464" s="14"/>
      <c r="AH464" s="108"/>
      <c r="AI464" s="14"/>
      <c r="AJ464" s="14"/>
      <c r="AK464" s="120"/>
      <c r="AL464" s="120"/>
      <c r="AM464" s="272"/>
      <c r="AN464" s="273"/>
      <c r="AO464" s="274"/>
      <c r="AP464" s="108"/>
      <c r="AQ464" s="260"/>
      <c r="AR464" s="102"/>
      <c r="AU464" s="120"/>
      <c r="AV464" s="120"/>
      <c r="AX464" s="119"/>
      <c r="AY464" s="123"/>
      <c r="AZ464" s="272">
        <f>SUM(AZ453:AZ463)</f>
        <v>0.62508039147532601</v>
      </c>
      <c r="BA464" s="272">
        <f>SUM(BA453:BA463)</f>
        <v>0.62508039151892536</v>
      </c>
      <c r="BB464" s="123"/>
      <c r="BC464" s="108"/>
      <c r="BD464" s="108"/>
      <c r="BE464" s="260"/>
      <c r="BF464" s="102"/>
      <c r="BG464" s="120"/>
      <c r="BH464" s="102"/>
      <c r="BI464" s="261"/>
      <c r="BJ464" s="119"/>
      <c r="BK464" s="261"/>
      <c r="BL464" s="102"/>
      <c r="BM464" s="119"/>
      <c r="BN464" s="123"/>
      <c r="BO464" s="123"/>
      <c r="BP464" s="123"/>
      <c r="BQ464" s="108"/>
      <c r="BR464" s="108"/>
      <c r="BS464" s="124"/>
      <c r="BT464" s="108"/>
      <c r="BU464" s="260"/>
      <c r="BV464" s="102"/>
      <c r="BW464" s="120"/>
      <c r="BX464" s="120"/>
      <c r="BY464" s="254"/>
      <c r="BZ464" s="254"/>
      <c r="CA464" s="253"/>
      <c r="CB464" s="256"/>
      <c r="CC464" s="256"/>
      <c r="CD464" s="257"/>
      <c r="CE464" s="255"/>
      <c r="CL464" s="254"/>
      <c r="CM464" s="209"/>
      <c r="CN464" s="254"/>
      <c r="CO464" s="28"/>
      <c r="CP464" s="28"/>
      <c r="CQ464" s="28"/>
      <c r="CR464" s="28"/>
      <c r="CS464" s="28"/>
      <c r="CT464" s="28"/>
      <c r="CU464" s="28"/>
      <c r="CV464" s="28"/>
    </row>
    <row r="465" spans="1:135" ht="12" customHeight="1" x14ac:dyDescent="0.2">
      <c r="A465" s="187"/>
      <c r="B465" s="14"/>
      <c r="D465" s="37"/>
      <c r="E465" s="275"/>
      <c r="F465" s="102"/>
      <c r="G465" s="119"/>
      <c r="H465" s="108"/>
      <c r="I465" s="108"/>
      <c r="J465" s="260"/>
      <c r="K465" s="102"/>
      <c r="L465" s="120"/>
      <c r="M465" s="120"/>
      <c r="N465" s="175"/>
      <c r="O465" s="175"/>
      <c r="P465" s="104"/>
      <c r="Q465" s="175"/>
      <c r="R465" s="175"/>
      <c r="S465" s="119"/>
      <c r="T465" s="175"/>
      <c r="U465" s="104"/>
      <c r="V465" s="175"/>
      <c r="W465" s="175"/>
      <c r="X465" s="119"/>
      <c r="Y465" s="175"/>
      <c r="Z465" s="104"/>
      <c r="AA465" s="175"/>
      <c r="AB465" s="175"/>
      <c r="AC465" s="119"/>
      <c r="AD465" s="102"/>
      <c r="AE465" s="14"/>
      <c r="AF465" s="120"/>
      <c r="AG465" s="120"/>
      <c r="AH465" s="272"/>
      <c r="AI465" s="273"/>
      <c r="AJ465" s="274"/>
      <c r="AK465" s="108"/>
      <c r="AL465" s="260"/>
      <c r="AM465" s="102"/>
      <c r="AN465" s="120"/>
      <c r="AO465" s="120"/>
      <c r="AP465" s="261"/>
      <c r="AQ465" s="272"/>
      <c r="AR465" s="119"/>
      <c r="AS465" s="123"/>
      <c r="AT465" s="123"/>
      <c r="AU465" s="124"/>
      <c r="AV465" s="124"/>
      <c r="AW465" s="108"/>
      <c r="AX465" s="102"/>
      <c r="AY465" s="102"/>
      <c r="AZ465" s="119"/>
      <c r="BA465" s="123"/>
      <c r="BB465" s="123"/>
      <c r="BC465" s="108"/>
      <c r="BD465" s="108"/>
      <c r="BE465" s="260"/>
      <c r="BF465" s="102"/>
      <c r="BG465" s="120"/>
      <c r="BH465" s="102"/>
      <c r="BI465" s="261"/>
      <c r="BJ465" s="119"/>
      <c r="BK465" s="261"/>
      <c r="BL465" s="102"/>
      <c r="BM465" s="119"/>
      <c r="BN465" s="123"/>
      <c r="BO465" s="123"/>
      <c r="BP465" s="123"/>
      <c r="BQ465" s="108"/>
      <c r="BR465" s="108"/>
      <c r="BS465" s="124"/>
      <c r="BT465" s="108"/>
      <c r="BU465" s="260"/>
      <c r="BV465" s="102"/>
      <c r="BW465" s="120"/>
      <c r="BX465" s="120"/>
      <c r="BY465" s="254"/>
      <c r="BZ465" s="254"/>
      <c r="CA465" s="253"/>
      <c r="CB465" s="256"/>
      <c r="CC465" s="256"/>
      <c r="CD465" s="257"/>
      <c r="CE465" s="255"/>
      <c r="CL465" s="254"/>
      <c r="CM465" s="209"/>
      <c r="CN465" s="254"/>
      <c r="CO465" s="28"/>
      <c r="CP465" s="28"/>
      <c r="CQ465" s="28"/>
      <c r="CR465" s="28"/>
      <c r="CS465" s="28"/>
      <c r="CT465" s="28"/>
      <c r="CU465" s="28"/>
      <c r="CV465" s="28"/>
    </row>
    <row r="466" spans="1:135" ht="12" customHeight="1" x14ac:dyDescent="0.2">
      <c r="A466" s="36" t="s">
        <v>503</v>
      </c>
      <c r="B466" s="26"/>
      <c r="C466" s="1"/>
      <c r="E466" s="1"/>
      <c r="I466" s="1"/>
      <c r="J466" s="1"/>
      <c r="K466" s="129"/>
      <c r="L466" s="12"/>
      <c r="M466" s="1"/>
      <c r="N466" s="1"/>
      <c r="O466" s="1"/>
      <c r="P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D466" s="1"/>
      <c r="AE466" s="1"/>
      <c r="AF466" s="1"/>
      <c r="AG466" s="1"/>
      <c r="AH466" s="1"/>
      <c r="AI466" s="1"/>
      <c r="AJ466" s="1"/>
      <c r="AK466" s="1"/>
      <c r="AL466" s="260"/>
      <c r="AM466" s="102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E466" s="1"/>
      <c r="BF466" s="1"/>
      <c r="BG466" s="1"/>
      <c r="BH466" s="1"/>
      <c r="BI466" s="1"/>
      <c r="BJ466" s="9" t="s">
        <v>412</v>
      </c>
      <c r="BQ466" s="1"/>
      <c r="BR466" s="1"/>
      <c r="BZ466" s="9" t="s">
        <v>412</v>
      </c>
      <c r="CU466" s="9" t="s">
        <v>412</v>
      </c>
      <c r="DB466" s="1"/>
      <c r="DC466" s="1"/>
      <c r="DK466" s="9" t="s">
        <v>412</v>
      </c>
    </row>
    <row r="467" spans="1:135" ht="12" customHeight="1" x14ac:dyDescent="0.2">
      <c r="A467" s="36"/>
      <c r="B467" s="218"/>
      <c r="C467" s="218"/>
      <c r="D467" s="218"/>
      <c r="E467" s="217"/>
      <c r="F467" s="218"/>
      <c r="G467" s="217"/>
      <c r="I467" s="151"/>
      <c r="J467" s="133" t="s">
        <v>414</v>
      </c>
      <c r="K467" s="132"/>
      <c r="L467" s="132"/>
      <c r="M467" s="132"/>
      <c r="N467" s="132"/>
      <c r="O467" s="132"/>
      <c r="P467" s="132"/>
      <c r="Q467" s="132"/>
      <c r="R467" s="132"/>
      <c r="S467" s="132"/>
      <c r="T467" s="132"/>
      <c r="U467" s="132"/>
      <c r="V467" s="132"/>
      <c r="W467" s="132"/>
      <c r="X467" s="132"/>
      <c r="Y467" s="132"/>
      <c r="Z467" s="132"/>
      <c r="AA467" s="133" t="s">
        <v>205</v>
      </c>
      <c r="AB467" s="1"/>
      <c r="AC467" s="217"/>
      <c r="AD467" s="217"/>
      <c r="AE467" s="217"/>
      <c r="AF467" s="217"/>
      <c r="AG467" s="217"/>
      <c r="AH467" s="217"/>
      <c r="AI467" s="217"/>
      <c r="AJ467" s="217"/>
      <c r="AK467" s="217"/>
      <c r="AL467" s="217"/>
      <c r="AM467" s="217"/>
      <c r="AN467" s="217"/>
      <c r="AO467" s="217"/>
      <c r="AP467" s="217"/>
      <c r="AQ467" s="217"/>
      <c r="AR467" s="217"/>
      <c r="AT467" s="217"/>
      <c r="AU467" s="217"/>
      <c r="AV467" s="217"/>
      <c r="AW467" s="217"/>
      <c r="AX467" s="217"/>
      <c r="AY467" s="217"/>
      <c r="AZ467" s="217"/>
      <c r="BA467" s="217"/>
      <c r="BB467" s="217"/>
      <c r="BC467" s="217"/>
      <c r="BD467" s="217"/>
      <c r="BE467" s="217"/>
      <c r="BF467" s="217"/>
      <c r="BG467" s="217"/>
      <c r="BH467" s="217"/>
      <c r="BI467" s="217"/>
      <c r="BJ467" s="109" t="s">
        <v>457</v>
      </c>
      <c r="BK467" s="9" t="s">
        <v>458</v>
      </c>
      <c r="BM467" s="28"/>
      <c r="BN467" s="109" t="s">
        <v>459</v>
      </c>
      <c r="BQ467" s="1"/>
      <c r="BR467" s="109" t="s">
        <v>460</v>
      </c>
      <c r="BV467" s="218" t="s">
        <v>461</v>
      </c>
      <c r="BW467" s="218"/>
      <c r="BX467" s="218"/>
      <c r="BY467" s="218"/>
      <c r="BZ467" s="109" t="s">
        <v>457</v>
      </c>
      <c r="CA467" s="9" t="s">
        <v>462</v>
      </c>
      <c r="CC467" s="109"/>
      <c r="CD467" s="109" t="s">
        <v>459</v>
      </c>
      <c r="CF467" s="1"/>
      <c r="CG467" s="109"/>
      <c r="CH467" s="109" t="s">
        <v>460</v>
      </c>
      <c r="CL467" s="218" t="s">
        <v>463</v>
      </c>
      <c r="CM467" s="218"/>
      <c r="CN467" s="217"/>
      <c r="CO467" s="217"/>
      <c r="CP467" s="97" t="s">
        <v>464</v>
      </c>
      <c r="CQ467" s="132" t="s">
        <v>465</v>
      </c>
      <c r="CR467" s="202"/>
      <c r="CS467" s="132"/>
      <c r="CT467" s="132"/>
      <c r="CU467" s="109" t="s">
        <v>457</v>
      </c>
      <c r="CV467" s="9" t="s">
        <v>458</v>
      </c>
      <c r="CX467" s="28"/>
      <c r="CY467" s="109" t="s">
        <v>459</v>
      </c>
      <c r="DB467" s="1"/>
      <c r="DC467" s="109" t="s">
        <v>460</v>
      </c>
      <c r="DG467" s="218" t="s">
        <v>461</v>
      </c>
      <c r="DH467" s="218"/>
      <c r="DI467" s="218"/>
      <c r="DJ467" s="218"/>
      <c r="DK467" s="109" t="s">
        <v>457</v>
      </c>
      <c r="DL467" s="9" t="s">
        <v>462</v>
      </c>
      <c r="DN467" s="109"/>
      <c r="DO467" s="109" t="s">
        <v>459</v>
      </c>
      <c r="DQ467" s="1"/>
      <c r="DR467" s="109"/>
      <c r="DS467" s="109" t="s">
        <v>460</v>
      </c>
      <c r="DW467" s="218" t="s">
        <v>463</v>
      </c>
      <c r="DX467" s="218"/>
      <c r="DY467" s="217"/>
      <c r="DZ467" s="217"/>
      <c r="EA467" s="97" t="s">
        <v>464</v>
      </c>
      <c r="EB467" s="132" t="s">
        <v>465</v>
      </c>
      <c r="EC467" s="202"/>
      <c r="ED467" s="132"/>
      <c r="EE467" s="132"/>
    </row>
    <row r="468" spans="1:135" ht="12" customHeight="1" x14ac:dyDescent="0.2">
      <c r="A468" s="200"/>
      <c r="B468" s="276" t="s">
        <v>466</v>
      </c>
      <c r="C468" s="277"/>
      <c r="D468" s="278"/>
      <c r="E468" s="276" t="s">
        <v>420</v>
      </c>
      <c r="F468" s="277"/>
      <c r="G468" s="278"/>
      <c r="I468" s="224" t="s">
        <v>414</v>
      </c>
      <c r="J468" s="133" t="s">
        <v>195</v>
      </c>
      <c r="K468" s="132"/>
      <c r="L468" s="132"/>
      <c r="M468" s="132"/>
      <c r="N468" s="132" t="s">
        <v>467</v>
      </c>
      <c r="O468" s="132"/>
      <c r="P468" s="132"/>
      <c r="Q468" s="132"/>
      <c r="R468" s="132"/>
      <c r="S468" s="132"/>
      <c r="T468" s="132"/>
      <c r="U468" s="132"/>
      <c r="V468" s="132"/>
      <c r="W468" s="132"/>
      <c r="X468" s="132"/>
      <c r="Y468" s="132"/>
      <c r="Z468" s="133"/>
      <c r="AA468" s="133" t="s">
        <v>421</v>
      </c>
      <c r="AB468" s="1"/>
      <c r="AC468" s="217"/>
      <c r="AD468" s="217"/>
      <c r="AE468" s="217"/>
      <c r="AF468" s="217"/>
      <c r="AG468" s="217"/>
      <c r="AH468" s="217" t="s">
        <v>468</v>
      </c>
      <c r="AI468" s="217"/>
      <c r="AJ468" s="217"/>
      <c r="AK468" s="217"/>
      <c r="AL468" s="217"/>
      <c r="AM468" s="217"/>
      <c r="AN468" s="217"/>
      <c r="AO468" s="217"/>
      <c r="AP468" s="217"/>
      <c r="AQ468" s="217"/>
      <c r="AR468" s="217"/>
      <c r="AT468" s="217"/>
      <c r="AU468" s="217"/>
      <c r="AV468" s="217"/>
      <c r="AW468" s="217"/>
      <c r="AX468" s="217"/>
      <c r="AY468" s="217" t="s">
        <v>422</v>
      </c>
      <c r="AZ468" s="217"/>
      <c r="BA468" s="217"/>
      <c r="BB468" s="217"/>
      <c r="BC468" s="217"/>
      <c r="BD468" s="217"/>
      <c r="BE468" s="217"/>
      <c r="BF468" s="217"/>
      <c r="BG468" s="217"/>
      <c r="BH468" s="217"/>
      <c r="BI468" s="217"/>
      <c r="BJ468" s="109" t="s">
        <v>459</v>
      </c>
      <c r="BK468" s="133" t="s">
        <v>469</v>
      </c>
      <c r="BL468" s="97" t="s">
        <v>470</v>
      </c>
      <c r="BM468" s="218" t="s">
        <v>469</v>
      </c>
      <c r="BN468" s="109" t="s">
        <v>471</v>
      </c>
      <c r="BO468" s="133" t="s">
        <v>469</v>
      </c>
      <c r="BP468" s="97" t="s">
        <v>470</v>
      </c>
      <c r="BQ468" s="218" t="s">
        <v>469</v>
      </c>
      <c r="BR468" s="109" t="s">
        <v>459</v>
      </c>
      <c r="BS468" s="133" t="s">
        <v>469</v>
      </c>
      <c r="BT468" s="97" t="s">
        <v>470</v>
      </c>
      <c r="BU468" s="218" t="s">
        <v>469</v>
      </c>
      <c r="BV468" s="225" t="s">
        <v>448</v>
      </c>
      <c r="BW468" s="218"/>
      <c r="BX468" s="217"/>
      <c r="BY468" s="225" t="s">
        <v>180</v>
      </c>
      <c r="BZ468" s="109" t="s">
        <v>459</v>
      </c>
      <c r="CA468" s="133" t="s">
        <v>469</v>
      </c>
      <c r="CB468" s="97" t="s">
        <v>470</v>
      </c>
      <c r="CC468" s="218" t="s">
        <v>469</v>
      </c>
      <c r="CD468" s="109" t="s">
        <v>471</v>
      </c>
      <c r="CE468" s="133" t="s">
        <v>469</v>
      </c>
      <c r="CF468" s="97" t="s">
        <v>470</v>
      </c>
      <c r="CG468" s="218" t="s">
        <v>469</v>
      </c>
      <c r="CH468" s="109" t="s">
        <v>459</v>
      </c>
      <c r="CI468" s="133" t="s">
        <v>469</v>
      </c>
      <c r="CJ468" s="97" t="s">
        <v>470</v>
      </c>
      <c r="CK468" s="218" t="s">
        <v>469</v>
      </c>
      <c r="CL468" s="217" t="s">
        <v>448</v>
      </c>
      <c r="CM468" s="218"/>
      <c r="CN468" s="217"/>
      <c r="CO468" s="225" t="s">
        <v>180</v>
      </c>
      <c r="CP468" s="97" t="s">
        <v>472</v>
      </c>
      <c r="CQ468" s="133" t="s">
        <v>205</v>
      </c>
      <c r="CR468" s="202" t="s">
        <v>361</v>
      </c>
      <c r="CS468" s="132" t="s">
        <v>188</v>
      </c>
      <c r="CT468" s="133" t="s">
        <v>180</v>
      </c>
      <c r="CU468" s="109" t="s">
        <v>459</v>
      </c>
      <c r="CV468" s="133" t="s">
        <v>469</v>
      </c>
      <c r="CW468" s="97" t="s">
        <v>470</v>
      </c>
      <c r="CX468" s="218" t="s">
        <v>469</v>
      </c>
      <c r="CY468" s="109" t="s">
        <v>471</v>
      </c>
      <c r="CZ468" s="133" t="s">
        <v>469</v>
      </c>
      <c r="DA468" s="97" t="s">
        <v>470</v>
      </c>
      <c r="DB468" s="218" t="s">
        <v>469</v>
      </c>
      <c r="DC468" s="109" t="s">
        <v>459</v>
      </c>
      <c r="DD468" s="133" t="s">
        <v>469</v>
      </c>
      <c r="DE468" s="97" t="s">
        <v>470</v>
      </c>
      <c r="DF468" s="218" t="s">
        <v>469</v>
      </c>
      <c r="DG468" s="225" t="s">
        <v>448</v>
      </c>
      <c r="DH468" s="218"/>
      <c r="DI468" s="217"/>
      <c r="DJ468" s="225" t="s">
        <v>180</v>
      </c>
      <c r="DK468" s="109" t="s">
        <v>459</v>
      </c>
      <c r="DL468" s="133" t="s">
        <v>469</v>
      </c>
      <c r="DM468" s="97" t="s">
        <v>470</v>
      </c>
      <c r="DN468" s="218" t="s">
        <v>469</v>
      </c>
      <c r="DO468" s="109" t="s">
        <v>471</v>
      </c>
      <c r="DP468" s="133" t="s">
        <v>469</v>
      </c>
      <c r="DQ468" s="97" t="s">
        <v>470</v>
      </c>
      <c r="DR468" s="218" t="s">
        <v>469</v>
      </c>
      <c r="DS468" s="109" t="s">
        <v>459</v>
      </c>
      <c r="DT468" s="133" t="s">
        <v>469</v>
      </c>
      <c r="DU468" s="97" t="s">
        <v>470</v>
      </c>
      <c r="DV468" s="218" t="s">
        <v>469</v>
      </c>
      <c r="DW468" s="217" t="s">
        <v>448</v>
      </c>
      <c r="DX468" s="218"/>
      <c r="DY468" s="217"/>
      <c r="DZ468" s="225" t="s">
        <v>180</v>
      </c>
      <c r="EA468" s="97" t="s">
        <v>472</v>
      </c>
      <c r="EB468" s="133" t="s">
        <v>205</v>
      </c>
      <c r="EC468" s="202" t="s">
        <v>361</v>
      </c>
      <c r="ED468" s="132" t="s">
        <v>188</v>
      </c>
      <c r="EE468" s="133" t="s">
        <v>180</v>
      </c>
    </row>
    <row r="469" spans="1:135" ht="12" customHeight="1" x14ac:dyDescent="0.2">
      <c r="A469" s="200"/>
      <c r="B469" s="226" t="s">
        <v>426</v>
      </c>
      <c r="C469" s="225" t="s">
        <v>426</v>
      </c>
      <c r="D469" s="228" t="s">
        <v>426</v>
      </c>
      <c r="E469" s="226" t="s">
        <v>426</v>
      </c>
      <c r="F469" s="225" t="s">
        <v>426</v>
      </c>
      <c r="G469" s="228" t="s">
        <v>426</v>
      </c>
      <c r="H469" s="112" t="s">
        <v>414</v>
      </c>
      <c r="I469" s="133" t="s">
        <v>427</v>
      </c>
      <c r="J469" s="133" t="s">
        <v>243</v>
      </c>
      <c r="K469" s="133"/>
      <c r="L469" s="133" t="s">
        <v>197</v>
      </c>
      <c r="M469" s="133" t="s">
        <v>197</v>
      </c>
      <c r="N469" s="133" t="s">
        <v>428</v>
      </c>
      <c r="O469" s="132"/>
      <c r="P469" s="132"/>
      <c r="Q469" s="132"/>
      <c r="R469" s="132"/>
      <c r="S469" s="132"/>
      <c r="T469" s="133" t="s">
        <v>199</v>
      </c>
      <c r="U469" s="134"/>
      <c r="V469" s="133" t="s">
        <v>200</v>
      </c>
      <c r="W469" s="133"/>
      <c r="X469" s="133"/>
      <c r="Y469" s="133" t="s">
        <v>257</v>
      </c>
      <c r="Z469" s="133" t="s">
        <v>205</v>
      </c>
      <c r="AA469" s="133" t="s">
        <v>429</v>
      </c>
      <c r="AB469" s="1"/>
      <c r="AC469" s="225"/>
      <c r="AD469" s="217" t="s">
        <v>197</v>
      </c>
      <c r="AE469" s="225" t="s">
        <v>428</v>
      </c>
      <c r="AF469" s="217"/>
      <c r="AG469" s="217"/>
      <c r="AH469" s="217"/>
      <c r="AI469" s="217"/>
      <c r="AJ469" s="217"/>
      <c r="AK469" s="225" t="s">
        <v>199</v>
      </c>
      <c r="AL469" s="229"/>
      <c r="AM469" s="225" t="s">
        <v>200</v>
      </c>
      <c r="AN469" s="225" t="s">
        <v>256</v>
      </c>
      <c r="AO469" s="225" t="s">
        <v>257</v>
      </c>
      <c r="AP469" s="225" t="s">
        <v>257</v>
      </c>
      <c r="AQ469" s="225" t="s">
        <v>205</v>
      </c>
      <c r="AR469" s="225" t="s">
        <v>205</v>
      </c>
      <c r="AT469" s="225"/>
      <c r="AU469" s="217" t="s">
        <v>197</v>
      </c>
      <c r="AV469" s="225" t="s">
        <v>428</v>
      </c>
      <c r="AW469" s="217"/>
      <c r="AX469" s="217"/>
      <c r="AY469" s="217"/>
      <c r="AZ469" s="217"/>
      <c r="BA469" s="217"/>
      <c r="BB469" s="225" t="s">
        <v>199</v>
      </c>
      <c r="BC469" s="229"/>
      <c r="BD469" s="225" t="s">
        <v>200</v>
      </c>
      <c r="BE469" s="225" t="s">
        <v>256</v>
      </c>
      <c r="BF469" s="279" t="s">
        <v>257</v>
      </c>
      <c r="BG469" s="225" t="s">
        <v>257</v>
      </c>
      <c r="BH469" s="225" t="s">
        <v>205</v>
      </c>
      <c r="BI469" s="217" t="s">
        <v>205</v>
      </c>
      <c r="BJ469" s="109" t="s">
        <v>471</v>
      </c>
      <c r="BK469" s="133" t="s">
        <v>473</v>
      </c>
      <c r="BL469" s="97" t="s">
        <v>473</v>
      </c>
      <c r="BM469" s="218" t="s">
        <v>474</v>
      </c>
      <c r="BN469" s="109" t="s">
        <v>475</v>
      </c>
      <c r="BO469" s="133" t="s">
        <v>473</v>
      </c>
      <c r="BP469" s="97" t="s">
        <v>473</v>
      </c>
      <c r="BQ469" s="218" t="s">
        <v>474</v>
      </c>
      <c r="BR469" s="109" t="s">
        <v>471</v>
      </c>
      <c r="BS469" s="133" t="s">
        <v>473</v>
      </c>
      <c r="BT469" s="97" t="s">
        <v>473</v>
      </c>
      <c r="BU469" s="218" t="s">
        <v>474</v>
      </c>
      <c r="BV469" s="225" t="s">
        <v>205</v>
      </c>
      <c r="BW469" s="225" t="s">
        <v>432</v>
      </c>
      <c r="BX469" s="225" t="s">
        <v>196</v>
      </c>
      <c r="BY469" s="225" t="s">
        <v>196</v>
      </c>
      <c r="BZ469" s="109" t="s">
        <v>471</v>
      </c>
      <c r="CA469" s="133" t="s">
        <v>473</v>
      </c>
      <c r="CB469" s="97" t="s">
        <v>473</v>
      </c>
      <c r="CC469" s="218" t="s">
        <v>474</v>
      </c>
      <c r="CD469" s="109" t="s">
        <v>475</v>
      </c>
      <c r="CE469" s="133" t="s">
        <v>473</v>
      </c>
      <c r="CF469" s="97" t="s">
        <v>473</v>
      </c>
      <c r="CG469" s="218" t="s">
        <v>474</v>
      </c>
      <c r="CH469" s="109" t="s">
        <v>471</v>
      </c>
      <c r="CI469" s="133" t="s">
        <v>473</v>
      </c>
      <c r="CJ469" s="97" t="s">
        <v>473</v>
      </c>
      <c r="CK469" s="218" t="s">
        <v>474</v>
      </c>
      <c r="CL469" s="217" t="s">
        <v>205</v>
      </c>
      <c r="CM469" s="225" t="s">
        <v>432</v>
      </c>
      <c r="CN469" s="225" t="s">
        <v>196</v>
      </c>
      <c r="CO469" s="225" t="s">
        <v>196</v>
      </c>
      <c r="CP469" s="97" t="s">
        <v>476</v>
      </c>
      <c r="CQ469" s="134" t="s">
        <v>421</v>
      </c>
      <c r="CR469" s="202" t="s">
        <v>477</v>
      </c>
      <c r="CS469" s="133" t="s">
        <v>196</v>
      </c>
      <c r="CT469" s="134" t="s">
        <v>209</v>
      </c>
      <c r="CU469" s="109" t="s">
        <v>471</v>
      </c>
      <c r="CV469" s="133" t="s">
        <v>473</v>
      </c>
      <c r="CW469" s="97" t="s">
        <v>473</v>
      </c>
      <c r="CX469" s="218" t="s">
        <v>474</v>
      </c>
      <c r="CY469" s="109" t="s">
        <v>475</v>
      </c>
      <c r="CZ469" s="133" t="s">
        <v>473</v>
      </c>
      <c r="DA469" s="97" t="s">
        <v>473</v>
      </c>
      <c r="DB469" s="218" t="s">
        <v>474</v>
      </c>
      <c r="DC469" s="109" t="s">
        <v>471</v>
      </c>
      <c r="DD469" s="133" t="s">
        <v>473</v>
      </c>
      <c r="DE469" s="97" t="s">
        <v>473</v>
      </c>
      <c r="DF469" s="218" t="s">
        <v>474</v>
      </c>
      <c r="DG469" s="225" t="s">
        <v>205</v>
      </c>
      <c r="DH469" s="225" t="s">
        <v>432</v>
      </c>
      <c r="DI469" s="225" t="s">
        <v>196</v>
      </c>
      <c r="DJ469" s="225" t="s">
        <v>196</v>
      </c>
      <c r="DK469" s="109" t="s">
        <v>471</v>
      </c>
      <c r="DL469" s="133" t="s">
        <v>473</v>
      </c>
      <c r="DM469" s="97" t="s">
        <v>473</v>
      </c>
      <c r="DN469" s="218" t="s">
        <v>474</v>
      </c>
      <c r="DO469" s="109" t="s">
        <v>475</v>
      </c>
      <c r="DP469" s="133" t="s">
        <v>473</v>
      </c>
      <c r="DQ469" s="97" t="s">
        <v>473</v>
      </c>
      <c r="DR469" s="218" t="s">
        <v>474</v>
      </c>
      <c r="DS469" s="109" t="s">
        <v>471</v>
      </c>
      <c r="DT469" s="133" t="s">
        <v>473</v>
      </c>
      <c r="DU469" s="97" t="s">
        <v>473</v>
      </c>
      <c r="DV469" s="218" t="s">
        <v>474</v>
      </c>
      <c r="DW469" s="217" t="s">
        <v>205</v>
      </c>
      <c r="DX469" s="225" t="s">
        <v>432</v>
      </c>
      <c r="DY469" s="225" t="s">
        <v>196</v>
      </c>
      <c r="DZ469" s="225" t="s">
        <v>196</v>
      </c>
      <c r="EA469" s="97" t="s">
        <v>476</v>
      </c>
      <c r="EB469" s="134" t="s">
        <v>421</v>
      </c>
      <c r="EC469" s="202" t="s">
        <v>477</v>
      </c>
      <c r="ED469" s="133" t="s">
        <v>196</v>
      </c>
      <c r="EE469" s="134" t="s">
        <v>209</v>
      </c>
    </row>
    <row r="470" spans="1:135" ht="12" customHeight="1" x14ac:dyDescent="0.2">
      <c r="A470" s="204"/>
      <c r="B470" s="226" t="s">
        <v>214</v>
      </c>
      <c r="C470" s="225" t="s">
        <v>433</v>
      </c>
      <c r="D470" s="228" t="s">
        <v>432</v>
      </c>
      <c r="E470" s="226" t="s">
        <v>214</v>
      </c>
      <c r="F470" s="225" t="s">
        <v>433</v>
      </c>
      <c r="G470" s="228" t="s">
        <v>432</v>
      </c>
      <c r="H470" s="115" t="s">
        <v>244</v>
      </c>
      <c r="I470" s="133" t="s">
        <v>214</v>
      </c>
      <c r="J470" s="133" t="s">
        <v>61</v>
      </c>
      <c r="K470" s="134" t="s">
        <v>245</v>
      </c>
      <c r="L470" s="133" t="s">
        <v>196</v>
      </c>
      <c r="M470" s="133" t="s">
        <v>247</v>
      </c>
      <c r="N470" s="133" t="s">
        <v>434</v>
      </c>
      <c r="O470" s="134" t="s">
        <v>248</v>
      </c>
      <c r="P470" s="134" t="s">
        <v>249</v>
      </c>
      <c r="Q470" s="133" t="s">
        <v>250</v>
      </c>
      <c r="R470" s="134" t="s">
        <v>251</v>
      </c>
      <c r="S470" s="134" t="s">
        <v>252</v>
      </c>
      <c r="T470" s="134" t="s">
        <v>253</v>
      </c>
      <c r="U470" s="134" t="s">
        <v>254</v>
      </c>
      <c r="V470" s="133" t="s">
        <v>255</v>
      </c>
      <c r="W470" s="133" t="s">
        <v>256</v>
      </c>
      <c r="X470" s="133" t="s">
        <v>257</v>
      </c>
      <c r="Y470" s="133" t="s">
        <v>260</v>
      </c>
      <c r="Z470" s="133" t="s">
        <v>262</v>
      </c>
      <c r="AA470" s="133" t="s">
        <v>435</v>
      </c>
      <c r="AB470" s="1"/>
      <c r="AC470" s="229" t="s">
        <v>245</v>
      </c>
      <c r="AD470" s="217" t="s">
        <v>247</v>
      </c>
      <c r="AE470" s="225" t="s">
        <v>434</v>
      </c>
      <c r="AF470" s="229" t="s">
        <v>248</v>
      </c>
      <c r="AG470" s="229" t="s">
        <v>249</v>
      </c>
      <c r="AH470" s="217" t="s">
        <v>250</v>
      </c>
      <c r="AI470" s="229" t="s">
        <v>251</v>
      </c>
      <c r="AJ470" s="229" t="s">
        <v>252</v>
      </c>
      <c r="AK470" s="229" t="s">
        <v>253</v>
      </c>
      <c r="AL470" s="229" t="s">
        <v>254</v>
      </c>
      <c r="AM470" s="217" t="s">
        <v>255</v>
      </c>
      <c r="AN470" s="225" t="s">
        <v>243</v>
      </c>
      <c r="AO470" s="225" t="s">
        <v>282</v>
      </c>
      <c r="AP470" s="225" t="s">
        <v>260</v>
      </c>
      <c r="AQ470" s="225" t="s">
        <v>262</v>
      </c>
      <c r="AR470" s="225" t="s">
        <v>421</v>
      </c>
      <c r="AT470" s="229" t="s">
        <v>245</v>
      </c>
      <c r="AU470" s="217" t="s">
        <v>247</v>
      </c>
      <c r="AV470" s="225" t="s">
        <v>434</v>
      </c>
      <c r="AW470" s="229" t="s">
        <v>248</v>
      </c>
      <c r="AX470" s="229" t="s">
        <v>249</v>
      </c>
      <c r="AY470" s="217" t="s">
        <v>250</v>
      </c>
      <c r="AZ470" s="229" t="s">
        <v>251</v>
      </c>
      <c r="BA470" s="229" t="s">
        <v>252</v>
      </c>
      <c r="BB470" s="229" t="s">
        <v>253</v>
      </c>
      <c r="BC470" s="229" t="s">
        <v>254</v>
      </c>
      <c r="BD470" s="217" t="s">
        <v>255</v>
      </c>
      <c r="BE470" s="225" t="s">
        <v>243</v>
      </c>
      <c r="BF470" s="279" t="s">
        <v>282</v>
      </c>
      <c r="BG470" s="225" t="s">
        <v>260</v>
      </c>
      <c r="BH470" s="225" t="s">
        <v>262</v>
      </c>
      <c r="BI470" s="217" t="s">
        <v>421</v>
      </c>
      <c r="BJ470" s="109" t="s">
        <v>475</v>
      </c>
      <c r="BK470" s="133" t="s">
        <v>478</v>
      </c>
      <c r="BL470" s="93" t="s">
        <v>478</v>
      </c>
      <c r="BM470" s="217" t="s">
        <v>479</v>
      </c>
      <c r="BN470" s="109" t="s">
        <v>480</v>
      </c>
      <c r="BO470" s="133" t="s">
        <v>478</v>
      </c>
      <c r="BP470" s="93" t="s">
        <v>478</v>
      </c>
      <c r="BQ470" s="217" t="s">
        <v>479</v>
      </c>
      <c r="BR470" s="109" t="s">
        <v>475</v>
      </c>
      <c r="BS470" s="133" t="s">
        <v>478</v>
      </c>
      <c r="BT470" s="93" t="s">
        <v>478</v>
      </c>
      <c r="BU470" s="217" t="s">
        <v>479</v>
      </c>
      <c r="BV470" s="225" t="s">
        <v>421</v>
      </c>
      <c r="BW470" s="225"/>
      <c r="BX470" s="225"/>
      <c r="BY470" s="225" t="s">
        <v>13</v>
      </c>
      <c r="BZ470" s="109" t="s">
        <v>475</v>
      </c>
      <c r="CA470" s="133" t="s">
        <v>478</v>
      </c>
      <c r="CB470" s="93" t="s">
        <v>478</v>
      </c>
      <c r="CC470" s="217" t="s">
        <v>479</v>
      </c>
      <c r="CD470" s="109" t="s">
        <v>480</v>
      </c>
      <c r="CE470" s="133" t="s">
        <v>478</v>
      </c>
      <c r="CF470" s="93" t="s">
        <v>478</v>
      </c>
      <c r="CG470" s="217" t="s">
        <v>479</v>
      </c>
      <c r="CH470" s="109" t="s">
        <v>475</v>
      </c>
      <c r="CI470" s="133" t="s">
        <v>478</v>
      </c>
      <c r="CJ470" s="93" t="s">
        <v>478</v>
      </c>
      <c r="CK470" s="217" t="s">
        <v>479</v>
      </c>
      <c r="CL470" s="225" t="s">
        <v>421</v>
      </c>
      <c r="CM470" s="225"/>
      <c r="CN470" s="225"/>
      <c r="CO470" s="225" t="s">
        <v>13</v>
      </c>
      <c r="CP470" s="97"/>
      <c r="CQ470" s="134" t="s">
        <v>476</v>
      </c>
      <c r="CR470" s="202" t="s">
        <v>481</v>
      </c>
      <c r="CS470" s="134" t="s">
        <v>253</v>
      </c>
      <c r="CT470" s="134" t="s">
        <v>47</v>
      </c>
      <c r="CU470" s="109" t="s">
        <v>475</v>
      </c>
      <c r="CV470" s="133" t="s">
        <v>478</v>
      </c>
      <c r="CW470" s="93" t="s">
        <v>478</v>
      </c>
      <c r="CX470" s="217" t="s">
        <v>479</v>
      </c>
      <c r="CY470" s="109" t="s">
        <v>480</v>
      </c>
      <c r="CZ470" s="133" t="s">
        <v>478</v>
      </c>
      <c r="DA470" s="93" t="s">
        <v>478</v>
      </c>
      <c r="DB470" s="217" t="s">
        <v>479</v>
      </c>
      <c r="DC470" s="109" t="s">
        <v>475</v>
      </c>
      <c r="DD470" s="133" t="s">
        <v>478</v>
      </c>
      <c r="DE470" s="93" t="s">
        <v>478</v>
      </c>
      <c r="DF470" s="217" t="s">
        <v>479</v>
      </c>
      <c r="DG470" s="225" t="s">
        <v>421</v>
      </c>
      <c r="DH470" s="225"/>
      <c r="DI470" s="225"/>
      <c r="DJ470" s="225" t="s">
        <v>13</v>
      </c>
      <c r="DK470" s="109" t="s">
        <v>475</v>
      </c>
      <c r="DL470" s="133" t="s">
        <v>478</v>
      </c>
      <c r="DM470" s="93" t="s">
        <v>478</v>
      </c>
      <c r="DN470" s="217" t="s">
        <v>479</v>
      </c>
      <c r="DO470" s="109" t="s">
        <v>480</v>
      </c>
      <c r="DP470" s="133" t="s">
        <v>478</v>
      </c>
      <c r="DQ470" s="93" t="s">
        <v>478</v>
      </c>
      <c r="DR470" s="217" t="s">
        <v>479</v>
      </c>
      <c r="DS470" s="109" t="s">
        <v>475</v>
      </c>
      <c r="DT470" s="133" t="s">
        <v>478</v>
      </c>
      <c r="DU470" s="93" t="s">
        <v>478</v>
      </c>
      <c r="DV470" s="217" t="s">
        <v>479</v>
      </c>
      <c r="DW470" s="225" t="s">
        <v>421</v>
      </c>
      <c r="DX470" s="225"/>
      <c r="DY470" s="225"/>
      <c r="DZ470" s="225" t="s">
        <v>13</v>
      </c>
      <c r="EA470" s="97"/>
      <c r="EB470" s="134" t="s">
        <v>476</v>
      </c>
      <c r="EC470" s="202" t="s">
        <v>481</v>
      </c>
      <c r="ED470" s="134" t="s">
        <v>253</v>
      </c>
      <c r="EE470" s="134" t="s">
        <v>47</v>
      </c>
    </row>
    <row r="471" spans="1:135" ht="12" customHeight="1" x14ac:dyDescent="0.2">
      <c r="A471" s="204" t="s">
        <v>440</v>
      </c>
      <c r="B471" s="232" t="s">
        <v>47</v>
      </c>
      <c r="C471" s="233" t="s">
        <v>317</v>
      </c>
      <c r="D471" s="280" t="s">
        <v>90</v>
      </c>
      <c r="E471" s="232" t="s">
        <v>47</v>
      </c>
      <c r="F471" s="233" t="s">
        <v>317</v>
      </c>
      <c r="G471" s="280" t="s">
        <v>90</v>
      </c>
      <c r="H471" s="115" t="s">
        <v>271</v>
      </c>
      <c r="I471" s="133" t="s">
        <v>47</v>
      </c>
      <c r="J471" s="154">
        <v>0</v>
      </c>
      <c r="K471" s="134" t="s">
        <v>272</v>
      </c>
      <c r="L471" s="133" t="s">
        <v>273</v>
      </c>
      <c r="M471" s="134" t="s">
        <v>274</v>
      </c>
      <c r="N471" s="133" t="s">
        <v>273</v>
      </c>
      <c r="O471" s="134" t="s">
        <v>275</v>
      </c>
      <c r="P471" s="134" t="s">
        <v>276</v>
      </c>
      <c r="Q471" s="133" t="s">
        <v>277</v>
      </c>
      <c r="R471" s="134" t="s">
        <v>278</v>
      </c>
      <c r="S471" s="134" t="s">
        <v>279</v>
      </c>
      <c r="T471" s="134" t="s">
        <v>280</v>
      </c>
      <c r="U471" s="134" t="s">
        <v>278</v>
      </c>
      <c r="V471" s="133" t="s">
        <v>281</v>
      </c>
      <c r="W471" s="133" t="s">
        <v>282</v>
      </c>
      <c r="X471" s="133" t="s">
        <v>283</v>
      </c>
      <c r="Y471" s="133"/>
      <c r="Z471" s="133" t="s">
        <v>285</v>
      </c>
      <c r="AA471" s="133" t="s">
        <v>441</v>
      </c>
      <c r="AB471" s="1"/>
      <c r="AC471" s="229" t="s">
        <v>272</v>
      </c>
      <c r="AD471" s="229" t="s">
        <v>274</v>
      </c>
      <c r="AE471" s="225" t="s">
        <v>273</v>
      </c>
      <c r="AF471" s="229" t="s">
        <v>275</v>
      </c>
      <c r="AG471" s="229" t="s">
        <v>276</v>
      </c>
      <c r="AH471" s="217" t="s">
        <v>277</v>
      </c>
      <c r="AI471" s="229" t="s">
        <v>278</v>
      </c>
      <c r="AJ471" s="229" t="s">
        <v>279</v>
      </c>
      <c r="AK471" s="229" t="s">
        <v>280</v>
      </c>
      <c r="AL471" s="229" t="s">
        <v>278</v>
      </c>
      <c r="AM471" s="217" t="s">
        <v>281</v>
      </c>
      <c r="AN471" s="225" t="s">
        <v>282</v>
      </c>
      <c r="AO471" s="225" t="s">
        <v>271</v>
      </c>
      <c r="AP471" s="225"/>
      <c r="AQ471" s="225" t="s">
        <v>285</v>
      </c>
      <c r="AR471" s="225" t="s">
        <v>441</v>
      </c>
      <c r="AT471" s="229" t="s">
        <v>272</v>
      </c>
      <c r="AU471" s="229" t="s">
        <v>274</v>
      </c>
      <c r="AV471" s="225" t="s">
        <v>273</v>
      </c>
      <c r="AW471" s="229" t="s">
        <v>275</v>
      </c>
      <c r="AX471" s="229" t="s">
        <v>276</v>
      </c>
      <c r="AY471" s="217" t="s">
        <v>277</v>
      </c>
      <c r="AZ471" s="229" t="s">
        <v>278</v>
      </c>
      <c r="BA471" s="229" t="s">
        <v>279</v>
      </c>
      <c r="BB471" s="229" t="s">
        <v>280</v>
      </c>
      <c r="BC471" s="229" t="s">
        <v>278</v>
      </c>
      <c r="BD471" s="217" t="s">
        <v>281</v>
      </c>
      <c r="BE471" s="225" t="s">
        <v>282</v>
      </c>
      <c r="BF471" s="279" t="s">
        <v>271</v>
      </c>
      <c r="BG471" s="225"/>
      <c r="BH471" s="225" t="s">
        <v>285</v>
      </c>
      <c r="BI471" s="217" t="s">
        <v>441</v>
      </c>
      <c r="BJ471" s="109" t="s">
        <v>13</v>
      </c>
      <c r="BK471" s="133" t="s">
        <v>286</v>
      </c>
      <c r="BL471" s="93" t="s">
        <v>286</v>
      </c>
      <c r="BM471" s="217" t="s">
        <v>286</v>
      </c>
      <c r="BN471" s="109" t="s">
        <v>13</v>
      </c>
      <c r="BO471" s="133" t="s">
        <v>286</v>
      </c>
      <c r="BP471" s="93" t="s">
        <v>286</v>
      </c>
      <c r="BQ471" s="217" t="s">
        <v>286</v>
      </c>
      <c r="BR471" s="109" t="s">
        <v>13</v>
      </c>
      <c r="BS471" s="133" t="s">
        <v>286</v>
      </c>
      <c r="BT471" s="93" t="s">
        <v>286</v>
      </c>
      <c r="BU471" s="217" t="s">
        <v>286</v>
      </c>
      <c r="BV471" s="225" t="s">
        <v>287</v>
      </c>
      <c r="BW471" s="225" t="s">
        <v>90</v>
      </c>
      <c r="BX471" s="225" t="s">
        <v>13</v>
      </c>
      <c r="BY471" s="265">
        <f>B472</f>
        <v>195.98976915305778</v>
      </c>
      <c r="BZ471" s="109" t="s">
        <v>13</v>
      </c>
      <c r="CA471" s="133" t="s">
        <v>286</v>
      </c>
      <c r="CB471" s="93" t="s">
        <v>286</v>
      </c>
      <c r="CC471" s="217" t="s">
        <v>286</v>
      </c>
      <c r="CD471" s="109" t="s">
        <v>13</v>
      </c>
      <c r="CE471" s="133" t="s">
        <v>286</v>
      </c>
      <c r="CF471" s="93" t="s">
        <v>286</v>
      </c>
      <c r="CG471" s="217" t="s">
        <v>286</v>
      </c>
      <c r="CH471" s="109" t="s">
        <v>13</v>
      </c>
      <c r="CI471" s="133" t="s">
        <v>286</v>
      </c>
      <c r="CJ471" s="93" t="s">
        <v>286</v>
      </c>
      <c r="CK471" s="217" t="s">
        <v>286</v>
      </c>
      <c r="CL471" s="225" t="s">
        <v>287</v>
      </c>
      <c r="CM471" s="225" t="s">
        <v>90</v>
      </c>
      <c r="CN471" s="225" t="s">
        <v>13</v>
      </c>
      <c r="CO471" s="263">
        <f>E472</f>
        <v>195.61888932471572</v>
      </c>
      <c r="CP471" s="131" t="s">
        <v>286</v>
      </c>
      <c r="CQ471" s="134" t="s">
        <v>286</v>
      </c>
      <c r="CR471" s="202" t="s">
        <v>286</v>
      </c>
      <c r="CS471" s="134" t="s">
        <v>13</v>
      </c>
      <c r="CT471" s="143"/>
      <c r="CU471" s="109" t="s">
        <v>13</v>
      </c>
      <c r="CV471" s="133" t="s">
        <v>286</v>
      </c>
      <c r="CW471" s="93" t="s">
        <v>286</v>
      </c>
      <c r="CX471" s="217" t="s">
        <v>286</v>
      </c>
      <c r="CY471" s="109" t="s">
        <v>13</v>
      </c>
      <c r="CZ471" s="133" t="s">
        <v>286</v>
      </c>
      <c r="DA471" s="93" t="s">
        <v>286</v>
      </c>
      <c r="DB471" s="217" t="s">
        <v>286</v>
      </c>
      <c r="DC471" s="109" t="s">
        <v>13</v>
      </c>
      <c r="DD471" s="133" t="s">
        <v>286</v>
      </c>
      <c r="DE471" s="93" t="s">
        <v>286</v>
      </c>
      <c r="DF471" s="217" t="s">
        <v>286</v>
      </c>
      <c r="DG471" s="225" t="s">
        <v>287</v>
      </c>
      <c r="DH471" s="225" t="s">
        <v>90</v>
      </c>
      <c r="DI471" s="225" t="s">
        <v>13</v>
      </c>
      <c r="DJ471" s="265">
        <f>B472</f>
        <v>195.98976915305778</v>
      </c>
      <c r="DK471" s="109" t="s">
        <v>13</v>
      </c>
      <c r="DL471" s="133" t="s">
        <v>286</v>
      </c>
      <c r="DM471" s="93" t="s">
        <v>286</v>
      </c>
      <c r="DN471" s="217" t="s">
        <v>286</v>
      </c>
      <c r="DO471" s="109" t="s">
        <v>13</v>
      </c>
      <c r="DP471" s="133" t="s">
        <v>286</v>
      </c>
      <c r="DQ471" s="93" t="s">
        <v>286</v>
      </c>
      <c r="DR471" s="217" t="s">
        <v>286</v>
      </c>
      <c r="DS471" s="109" t="s">
        <v>13</v>
      </c>
      <c r="DT471" s="133" t="s">
        <v>286</v>
      </c>
      <c r="DU471" s="93" t="s">
        <v>286</v>
      </c>
      <c r="DV471" s="217" t="s">
        <v>286</v>
      </c>
      <c r="DW471" s="225" t="s">
        <v>287</v>
      </c>
      <c r="DX471" s="225" t="s">
        <v>90</v>
      </c>
      <c r="DY471" s="225" t="s">
        <v>13</v>
      </c>
      <c r="DZ471" s="265">
        <f>E472</f>
        <v>195.61888932471572</v>
      </c>
      <c r="EA471" s="131" t="s">
        <v>286</v>
      </c>
      <c r="EB471" s="134" t="s">
        <v>286</v>
      </c>
      <c r="EC471" s="202" t="s">
        <v>286</v>
      </c>
      <c r="ED471" s="134" t="s">
        <v>13</v>
      </c>
      <c r="EE471" s="143">
        <f>I472</f>
        <v>1034.2609350901587</v>
      </c>
    </row>
    <row r="472" spans="1:135" ht="12" customHeight="1" x14ac:dyDescent="0.2">
      <c r="A472" s="200" t="s">
        <v>482</v>
      </c>
      <c r="B472" s="236">
        <f>B464</f>
        <v>195.98976915305778</v>
      </c>
      <c r="C472" s="237">
        <f>C464</f>
        <v>4.9800349169011069</v>
      </c>
      <c r="D472" s="281">
        <f>D464</f>
        <v>2848.3553758278376</v>
      </c>
      <c r="E472" s="236">
        <f>B453</f>
        <v>195.61888932471572</v>
      </c>
      <c r="F472" s="237">
        <f>C453</f>
        <v>4.9876863222816166</v>
      </c>
      <c r="G472" s="238">
        <f>D453</f>
        <v>2847.4838098586138</v>
      </c>
      <c r="H472" s="118">
        <v>0.5</v>
      </c>
      <c r="I472" s="239">
        <f>B420</f>
        <v>1034.2609350901587</v>
      </c>
      <c r="J472" s="154">
        <v>0</v>
      </c>
      <c r="K472" s="149">
        <f t="shared" ref="K472:K498" si="376">IF((J472-J471)=0,H472,S472*(J472-J471)/H$436*1000)</f>
        <v>0.5</v>
      </c>
      <c r="L472" s="240">
        <f t="shared" ref="L472:L498" si="377">I472</f>
        <v>1034.2609350901587</v>
      </c>
      <c r="M472" s="154">
        <f t="shared" ref="M472:M498" si="378">20.583*L472^-0.619</f>
        <v>0.28018999852868637</v>
      </c>
      <c r="N472" s="241">
        <f t="shared" ref="N472:N498" si="379">L472</f>
        <v>1034.2609350901587</v>
      </c>
      <c r="O472" s="150">
        <f t="shared" ref="O472:O498" si="380">$B$421/M472*1000</f>
        <v>1.4345953185244937</v>
      </c>
      <c r="P472" s="150">
        <f t="shared" ref="P472:P498" si="381">O472/1000/(H$435/1000000)</f>
        <v>7.9386547412151192</v>
      </c>
      <c r="Q472" s="152">
        <f t="shared" ref="Q472:Q498" si="382">-0.0000000000088144*I472^2+0.000000038157*I472+0.000018526</f>
        <v>4.8561568882105084E-5</v>
      </c>
      <c r="R472" s="152">
        <f>M472*P472*$H$246/1000/Q472</f>
        <v>347.50527737380003</v>
      </c>
      <c r="S472" s="153">
        <f t="shared" ref="S472:S498" si="383">MAX(64/R472,(0.25/(LOG(B$444/3.7/H$246+5.74/R472^0.9))^2))</f>
        <v>0.18416986494037413</v>
      </c>
      <c r="T472" s="154">
        <f t="shared" ref="T472:T498" si="384">$K472*M472*(P472^2)/2</f>
        <v>4.4145502701911008</v>
      </c>
      <c r="U472" s="155">
        <f t="shared" ref="U472:U498" si="385">-0.00000000012044*I472^3+0.00000024927*I472^2-0.00010926*I472+0.69512</f>
        <v>0.71551156654587789</v>
      </c>
      <c r="V472" s="154">
        <f t="shared" ref="V472:V498" si="386">0.000050069*I472+0.030201</f>
        <v>8.1985410759029154E-2</v>
      </c>
      <c r="W472" s="154">
        <v>0</v>
      </c>
      <c r="X472" s="154">
        <v>1</v>
      </c>
      <c r="Y472" s="154">
        <f t="shared" ref="Y472:Y498" si="387">IF((J472-J471)=0,0,(IF(R472&lt;2500,MAX(1.86*R472^0.33333*U472^0.33333*X472,3.66)*B$425,0.023*R472^0.8*U472^0.33*X472)))</f>
        <v>0</v>
      </c>
      <c r="Z472" s="154">
        <f t="shared" ref="Z472:Z498" si="388">Y472*V472/H$436*1000</f>
        <v>0</v>
      </c>
      <c r="AA472" s="154">
        <f t="shared" ref="AA472:AA498" si="389">Z472*1*$B$427/1000*PI()</f>
        <v>0</v>
      </c>
      <c r="AB472" s="1"/>
      <c r="AC472" s="242">
        <f t="shared" ref="AC472:AC498" si="390">AJ472*(J472-J471)/B$443*1000</f>
        <v>0</v>
      </c>
      <c r="AD472" s="263">
        <f t="shared" ref="AD472:AD498" si="391">IF(D472&lt;(2677.2*C472^0.0161),1/(1.7023*C472^-0.9421),1/((0.004625-(1451200*(B472+273)^-4.0097)*C472)*(B472+273)/C472))</f>
        <v>2.3679774055928573</v>
      </c>
      <c r="AE472" s="282">
        <f t="shared" ref="AE472:AE498" si="392">B472</f>
        <v>195.98976915305778</v>
      </c>
      <c r="AF472" s="243">
        <f t="shared" ref="AF472:AF498" si="393">$B$441/AD472*1000</f>
        <v>0.30287125467333087</v>
      </c>
      <c r="AG472" s="243">
        <f t="shared" ref="AG472:AG498" si="394">AF472/1000/(($B$443/1000)^2/4*PI())</f>
        <v>18.865170622057601</v>
      </c>
      <c r="AH472" s="264">
        <f t="shared" ref="AH472:AH498" si="395">0.00000000000025781*B472^2+0.000000041392*B472+0.0000078303</f>
        <v>1.5952611519825411E-5</v>
      </c>
      <c r="AI472" s="264">
        <f t="shared" ref="AI472:AI498" si="396">AD472*AG472*$B$443/1000/AH472</f>
        <v>12660.772971098866</v>
      </c>
      <c r="AJ472" s="245">
        <f t="shared" ref="AJ472:AJ498" si="397">MAX(64/AI472,(0.25/(LOG(B$445/3.7/B$443+5.74/AI472^0.9))^2))</f>
        <v>4.4082039185378279E-2</v>
      </c>
      <c r="AK472" s="264">
        <f t="shared" ref="AK472:AK498" si="398">AC472*AD472*(AG472^2)/2</f>
        <v>0</v>
      </c>
      <c r="AL472" s="246">
        <f t="shared" ref="AL472:AL498" si="399">(0.00000055085*C472-0.0000000015237)*B472^2+(-0.00038915*C472-0.000099678)*B472+(0.068918*C472+0.96415)</f>
        <v>1.0133190581131637</v>
      </c>
      <c r="AM472" s="263">
        <f t="shared" ref="AM472:AM498" si="400">(0.000000006099*C472+0.000000058342)*B472^2+(-0.000005447*C472+0.000072538)*B472+(0.001278*C472+0.01614)</f>
        <v>3.4812451592310431E-2</v>
      </c>
      <c r="AN472" s="263">
        <v>0</v>
      </c>
      <c r="AO472" s="263">
        <v>1</v>
      </c>
      <c r="AP472" s="235">
        <f t="shared" ref="AP472:AP498" si="401">IF((J472-J471)=0,0,(IF(AI472&lt;2500,MAX(1.86*AI472^0.33333*AL472^0.33333*AO472,3.66)*B$425,0.023*AI472^0.8*AL472^0.4*AO472)))</f>
        <v>0</v>
      </c>
      <c r="AQ472" s="235">
        <f t="shared" ref="AQ472:AQ498" si="402">AP472*AM472/$B$443*1000</f>
        <v>0</v>
      </c>
      <c r="AR472" s="263">
        <f t="shared" ref="AR472:AR498" si="403">AQ472*1*$B$443/1000*PI()</f>
        <v>0</v>
      </c>
      <c r="AT472" s="242">
        <f t="shared" ref="AT472:AT498" si="404">BA472*(J472-J471)/B$443*1000</f>
        <v>0</v>
      </c>
      <c r="AU472" s="263">
        <f t="shared" ref="AU472:AU498" si="405">IF(G472&lt;(2677.2*E472^0.0161),1/(1.7023*F472^-0.9421),1/((0.004625-(1451200*(E472+273)^-4.0097)*F472)*(E472+273)/F472))</f>
        <v>2.6696521276691496</v>
      </c>
      <c r="AV472" s="282">
        <f t="shared" ref="AV472:AV498" si="406">E472</f>
        <v>195.61888932471572</v>
      </c>
      <c r="AW472" s="243">
        <f t="shared" ref="AW472:AW498" si="407">$B$441/AU472*1000</f>
        <v>0.26864634550576522</v>
      </c>
      <c r="AX472" s="243">
        <f t="shared" ref="AX472:AX498" si="408">AW472/1000/(($B$443/1000)^2/4*PI())</f>
        <v>16.733377852001095</v>
      </c>
      <c r="AY472" s="264">
        <f t="shared" ref="AY472:AY498" si="409">0.00000000000025781*E472^2+0.000000041392*E472+0.0000078303</f>
        <v>1.5937222617710202E-5</v>
      </c>
      <c r="AZ472" s="264">
        <f t="shared" ref="AZ472:AZ498" si="410">AU472*AX472*$B$443/1000/AY472</f>
        <v>12672.998149891226</v>
      </c>
      <c r="BA472" s="245">
        <f t="shared" ref="BA472:BA498" si="411">MAX(64/AZ472,(0.25/(LOG(B$445/3.7/B$443+5.74/AZ472^0.9))^2))</f>
        <v>4.4078121449381405E-2</v>
      </c>
      <c r="BB472" s="264">
        <f t="shared" ref="BB472:BB498" si="412">$AT472*AU472*(AX472^2)/2</f>
        <v>0</v>
      </c>
      <c r="BC472" s="246">
        <f t="shared" ref="BC472:BC498" si="413">(0.00000055085*F472-0.0000000015237)*E472^2+(-0.00038915*F472-0.000099678)*E472+(0.068918*F472+0.96415)</f>
        <v>1.0137827180388044</v>
      </c>
      <c r="BD472" s="263">
        <f t="shared" ref="BD472:BD498" si="414">(0.000000006099*F472+0.000000058342)*E472^2+(-0.000005447*F472+0.000072538)*E472+(0.001278*F472+0.01614)</f>
        <v>3.4786135712545435E-2</v>
      </c>
      <c r="BE472" s="263">
        <v>0</v>
      </c>
      <c r="BF472" s="263">
        <v>0</v>
      </c>
      <c r="BG472" s="235">
        <f t="shared" ref="BG472:BG498" si="415">IF((J472-J471)=0,0,(IF(AZ472&lt;2500,1.86*AZ472^0.33333*BC472^0.33333*BF472*B$425,0.023*AZ472^0.8*BC472^0.4)*BF472))</f>
        <v>0</v>
      </c>
      <c r="BH472" s="235">
        <f t="shared" ref="BH472:BH498" si="416">BG472*BD472/$B$443*1000</f>
        <v>0</v>
      </c>
      <c r="BI472" s="263">
        <f t="shared" ref="BI472:BI498" si="417">BH472*1*$B$443/1000*PI()</f>
        <v>0</v>
      </c>
      <c r="BJ472" s="247"/>
      <c r="BK472" s="248"/>
      <c r="BL472" s="94"/>
      <c r="BM472" s="249"/>
      <c r="BN472" s="247"/>
      <c r="BO472" s="248"/>
      <c r="BP472" s="94"/>
      <c r="BQ472" s="249"/>
      <c r="BR472" s="247"/>
      <c r="BS472" s="248"/>
      <c r="BT472" s="94"/>
      <c r="BU472" s="249"/>
      <c r="BV472" s="283">
        <v>0</v>
      </c>
      <c r="BW472" s="282">
        <f>D472</f>
        <v>2848.3553758278376</v>
      </c>
      <c r="BX472" s="265">
        <f t="shared" ref="BX472:BX498" si="418">IF(BW472&lt;(2677.2*C472^0.0161),100.55*C472^0.2536,(BW472+9.0877*C472-2486.6)/(0.0199*C472+1.9776))</f>
        <v>195.98974862999219</v>
      </c>
      <c r="BY472" s="265">
        <f t="shared" ref="BY472:BY498" si="419">(BY471+BX472)/2</f>
        <v>195.98975889152499</v>
      </c>
      <c r="BZ472" s="284"/>
      <c r="CA472" s="248"/>
      <c r="CB472" s="94"/>
      <c r="CC472" s="249"/>
      <c r="CD472" s="247"/>
      <c r="CE472" s="248"/>
      <c r="CF472" s="94"/>
      <c r="CG472" s="249"/>
      <c r="CH472" s="247"/>
      <c r="CI472" s="248"/>
      <c r="CJ472" s="94"/>
      <c r="CK472" s="249"/>
      <c r="CL472" s="249">
        <v>0</v>
      </c>
      <c r="CM472" s="249">
        <f>G472</f>
        <v>2847.4838098586138</v>
      </c>
      <c r="CN472" s="265">
        <f t="shared" ref="CN472:CN498" si="420">IF(CM472&lt;(2677.2*F472^0.0161),100.55*F472^0.2536,(CM472+9.0877*F472-2486.6)/(0.0199*F472+1.9776))</f>
        <v>195.58920343541317</v>
      </c>
      <c r="CO472" s="265">
        <f t="shared" ref="CO472:CO498" si="421">(CO471+CN472)/2</f>
        <v>195.60404638006446</v>
      </c>
      <c r="CP472" s="97"/>
      <c r="CQ472" s="157">
        <f t="shared" ref="CQ472:CQ498" si="422">Z472*(L472-B$437)*(J472-J471)*PI()*$B$426/1000</f>
        <v>0</v>
      </c>
      <c r="CR472" s="285">
        <f t="shared" ref="CR472:CR498" si="423">CQ472+CP472+CK472+BV472</f>
        <v>0</v>
      </c>
      <c r="CS472" s="157">
        <f t="shared" ref="CS472:CS498" si="424">CR472/1000/B$422/B$421</f>
        <v>0</v>
      </c>
      <c r="CT472" s="143">
        <f t="shared" ref="CT472:CT498" si="425">I472-CS472/2</f>
        <v>1034.2609350901587</v>
      </c>
      <c r="CU472" s="247"/>
      <c r="CV472" s="248"/>
      <c r="CW472" s="94"/>
      <c r="CX472" s="249"/>
      <c r="CY472" s="247"/>
      <c r="CZ472" s="248"/>
      <c r="DA472" s="94"/>
      <c r="DB472" s="249"/>
      <c r="DC472" s="247"/>
      <c r="DD472" s="248"/>
      <c r="DE472" s="94"/>
      <c r="DF472" s="249"/>
      <c r="DG472" s="283">
        <v>0</v>
      </c>
      <c r="DH472" s="282">
        <f>D472</f>
        <v>2848.3553758278376</v>
      </c>
      <c r="DI472" s="265">
        <f t="shared" ref="DI472:DI498" si="426">IF(DH472&lt;(2677.2*C472^0.0161),100.55*C472^0.2536,(DH472+9.0877*C472-2486.6)/(0.0199*C472+1.9776))</f>
        <v>195.98974862999219</v>
      </c>
      <c r="DJ472" s="265">
        <f t="shared" ref="DJ472:DJ498" si="427">(DJ471+DI472)/2</f>
        <v>195.98975889152499</v>
      </c>
      <c r="DK472" s="284"/>
      <c r="DL472" s="248"/>
      <c r="DM472" s="94"/>
      <c r="DN472" s="249"/>
      <c r="DO472" s="247"/>
      <c r="DP472" s="248"/>
      <c r="DQ472" s="94"/>
      <c r="DR472" s="249"/>
      <c r="DS472" s="247"/>
      <c r="DT472" s="248"/>
      <c r="DU472" s="94"/>
      <c r="DV472" s="249"/>
      <c r="DW472" s="249">
        <v>0</v>
      </c>
      <c r="DX472" s="249">
        <f>G472</f>
        <v>2847.4838098586138</v>
      </c>
      <c r="DY472" s="265">
        <f t="shared" ref="DY472:DY498" si="428">IF(DX472&lt;(2677.2*F472^0.0161),100.55*F472^0.2536,(DX472+9.0877*F472-2486.6)/(0.0199*F472+1.9776))</f>
        <v>195.58920343541317</v>
      </c>
      <c r="DZ472" s="265">
        <f t="shared" ref="DZ472:DZ498" si="429">(DZ471+DY472)/2</f>
        <v>195.60404638006446</v>
      </c>
      <c r="EA472" s="94">
        <v>0</v>
      </c>
      <c r="EB472" s="157">
        <f t="shared" ref="EB472:EB498" si="430">Z472*(CT472-B$437)*(J472-J471)*PI()*$B$426/1000</f>
        <v>0</v>
      </c>
      <c r="EC472" s="138">
        <v>0</v>
      </c>
      <c r="ED472" s="157">
        <v>0</v>
      </c>
      <c r="EE472" s="143">
        <f t="shared" ref="EE472:EE498" si="431">I472-ED472/2</f>
        <v>1034.2609350901587</v>
      </c>
    </row>
    <row r="473" spans="1:135" ht="12" customHeight="1" x14ac:dyDescent="0.2">
      <c r="A473" s="200" t="s">
        <v>442</v>
      </c>
      <c r="B473" s="236">
        <f t="shared" ref="B473:B499" si="432">BX472</f>
        <v>195.98974862999219</v>
      </c>
      <c r="C473" s="237">
        <f t="shared" ref="C473:C499" si="433">C472-AK472/100000</f>
        <v>4.9800349169011069</v>
      </c>
      <c r="D473" s="236">
        <f t="shared" ref="D473:D499" si="434">BW472</f>
        <v>2848.3553758278376</v>
      </c>
      <c r="E473" s="236">
        <f>DY472</f>
        <v>195.58920343541317</v>
      </c>
      <c r="F473" s="237">
        <f t="shared" ref="F473:F499" si="435">F472+BB472/100000</f>
        <v>4.9876863222816166</v>
      </c>
      <c r="G473" s="238">
        <f t="shared" ref="G473:G499" si="436">DX472</f>
        <v>2847.4838098586138</v>
      </c>
      <c r="H473" s="118">
        <v>0</v>
      </c>
      <c r="I473" s="239">
        <f t="shared" ref="I473:I499" si="437">I472-ED472</f>
        <v>1034.2609350901587</v>
      </c>
      <c r="J473" s="154">
        <f t="shared" ref="J473:J497" si="438">J472+B$442/25</f>
        <v>1.2129032258064519E-2</v>
      </c>
      <c r="K473" s="149">
        <f t="shared" si="376"/>
        <v>0.29443548586441898</v>
      </c>
      <c r="L473" s="240">
        <f t="shared" si="377"/>
        <v>1034.2609350901587</v>
      </c>
      <c r="M473" s="154">
        <f t="shared" si="378"/>
        <v>0.28018999852868637</v>
      </c>
      <c r="N473" s="241">
        <f t="shared" si="379"/>
        <v>1034.2609350901587</v>
      </c>
      <c r="O473" s="150">
        <f t="shared" si="380"/>
        <v>1.4345953185244937</v>
      </c>
      <c r="P473" s="150">
        <f t="shared" si="381"/>
        <v>7.9386547412151192</v>
      </c>
      <c r="Q473" s="152">
        <f t="shared" si="382"/>
        <v>4.8561568882105084E-5</v>
      </c>
      <c r="R473" s="152">
        <f t="shared" ref="R473:R498" si="439">M473*P473*H$246/1000/Q473</f>
        <v>347.50527737380003</v>
      </c>
      <c r="S473" s="153">
        <f t="shared" si="383"/>
        <v>0.18416986494037413</v>
      </c>
      <c r="T473" s="154">
        <f t="shared" si="384"/>
        <v>2.5996005073532378</v>
      </c>
      <c r="U473" s="155">
        <f t="shared" si="385"/>
        <v>0.71551156654587789</v>
      </c>
      <c r="V473" s="154">
        <f t="shared" si="386"/>
        <v>8.1985410759029154E-2</v>
      </c>
      <c r="W473" s="154">
        <f t="shared" ref="W473:W497" si="440">IF(R473&lt;2500,(H$436/1000/$J473)^0.333333,(1+(H$436/1000/J473)^0.7))</f>
        <v>0.85521676834597427</v>
      </c>
      <c r="X473" s="154">
        <f t="shared" ref="X473:X497" si="441">(W473*J473-W472*J472)/(J473-J472)</f>
        <v>0.85521676834597427</v>
      </c>
      <c r="Y473" s="154">
        <f t="shared" si="387"/>
        <v>16.003949422097914</v>
      </c>
      <c r="Z473" s="154">
        <f t="shared" si="388"/>
        <v>172.94546449509488</v>
      </c>
      <c r="AA473" s="154">
        <f t="shared" si="389"/>
        <v>3.4501086746320992</v>
      </c>
      <c r="AB473" s="1"/>
      <c r="AC473" s="242">
        <f t="shared" si="390"/>
        <v>0.11825897386788917</v>
      </c>
      <c r="AD473" s="263">
        <f t="shared" si="391"/>
        <v>2.3679775222557797</v>
      </c>
      <c r="AE473" s="282">
        <f t="shared" si="392"/>
        <v>195.98974862999219</v>
      </c>
      <c r="AF473" s="243">
        <f t="shared" si="393"/>
        <v>0.30287123975180169</v>
      </c>
      <c r="AG473" s="243">
        <f t="shared" si="394"/>
        <v>18.865169692629042</v>
      </c>
      <c r="AH473" s="264">
        <f t="shared" si="395"/>
        <v>1.5952610668260695E-5</v>
      </c>
      <c r="AI473" s="264">
        <f t="shared" si="396"/>
        <v>12660.773646942323</v>
      </c>
      <c r="AJ473" s="245">
        <f t="shared" si="397"/>
        <v>4.408203896860774E-2</v>
      </c>
      <c r="AK473" s="264">
        <f t="shared" si="398"/>
        <v>49.831403394425045</v>
      </c>
      <c r="AL473" s="246">
        <f t="shared" si="399"/>
        <v>1.0133190778759966</v>
      </c>
      <c r="AM473" s="263">
        <f t="shared" si="400"/>
        <v>3.4812449946641656E-2</v>
      </c>
      <c r="AN473" s="263">
        <f t="shared" ref="AN473:AN498" si="442">IF(N464&lt;2500,(B$443/1000/(J473+I$463))^0.333333,(1+(B$443/1000/(J473+I$463))^0.7))</f>
        <v>0.70092866666099329</v>
      </c>
      <c r="AO473" s="263">
        <f t="shared" ref="AO473:AO497" si="443">(AN473*J473-AN472*J472)/(J473-J472)</f>
        <v>0.70092866666099318</v>
      </c>
      <c r="AP473" s="235">
        <f t="shared" si="401"/>
        <v>31.021896276043293</v>
      </c>
      <c r="AQ473" s="235">
        <f t="shared" si="402"/>
        <v>238.86318042990058</v>
      </c>
      <c r="AR473" s="263">
        <f t="shared" si="403"/>
        <v>3.3927573670649651</v>
      </c>
      <c r="AT473" s="242">
        <f t="shared" si="404"/>
        <v>0.11824762299055668</v>
      </c>
      <c r="AU473" s="263">
        <f t="shared" si="405"/>
        <v>2.6696521276691496</v>
      </c>
      <c r="AV473" s="282">
        <f t="shared" si="406"/>
        <v>195.58920343541317</v>
      </c>
      <c r="AW473" s="243">
        <f t="shared" si="407"/>
        <v>0.26864634550576522</v>
      </c>
      <c r="AX473" s="243">
        <f t="shared" si="408"/>
        <v>16.733377852001095</v>
      </c>
      <c r="AY473" s="264">
        <f t="shared" si="409"/>
        <v>1.5935990865339817E-5</v>
      </c>
      <c r="AZ473" s="264">
        <f t="shared" si="410"/>
        <v>12673.977693343712</v>
      </c>
      <c r="BA473" s="245">
        <f t="shared" si="411"/>
        <v>4.4077807832478839E-2</v>
      </c>
      <c r="BB473" s="264">
        <f t="shared" si="412"/>
        <v>44.196139239137381</v>
      </c>
      <c r="BC473" s="246">
        <f t="shared" si="413"/>
        <v>1.0138114065085559</v>
      </c>
      <c r="BD473" s="263">
        <f t="shared" si="414"/>
        <v>3.478375803769447E-2</v>
      </c>
      <c r="BE473" s="263">
        <f t="shared" ref="BE473:BE497" si="444">IF(AZ472&lt;2500,(B$443/1000/(B$442-J472))^0.333333,1+(B$443/1000/(B$442-J472))^0.7)</f>
        <v>1.0526552029981915</v>
      </c>
      <c r="BF473" s="263">
        <f t="shared" ref="BF473:BF497" si="445">(BE473*(B$442-J472)-BE474*(B$442-J473))/(J473-J472)</f>
        <v>1.0160228650082779</v>
      </c>
      <c r="BG473" s="235">
        <f t="shared" si="415"/>
        <v>45.013681907713398</v>
      </c>
      <c r="BH473" s="235">
        <f t="shared" si="416"/>
        <v>346.31182426427677</v>
      </c>
      <c r="BI473" s="263">
        <f t="shared" si="417"/>
        <v>4.9189330517984411</v>
      </c>
      <c r="BJ473" s="247">
        <f>(B472+I472)/2</f>
        <v>615.12535212160822</v>
      </c>
      <c r="BK473" s="248">
        <f t="shared" ref="BK473:BK497" si="446">($I473-BJ473)*$AA473*($J473-$J472)</f>
        <v>17.539348542038343</v>
      </c>
      <c r="BL473" s="94">
        <f t="shared" ref="BL473:BL497" si="447">0.000000056703*$H$437*(($I473+273)^4-(BJ473+273)^4)*($B$427/1000*PI())*($J473-$J472)</f>
        <v>0.21457364817146218</v>
      </c>
      <c r="BM473" s="249">
        <f t="shared" ref="BM473:BM497" si="448">$AR473*($J473-$J472)*(BJ473-$B473)</f>
        <v>17.247792027776473</v>
      </c>
      <c r="BN473" s="247">
        <f t="shared" ref="BN473:BN497" si="449">BJ473+1</f>
        <v>616.12535212160822</v>
      </c>
      <c r="BO473" s="248">
        <f t="shared" ref="BO473:BO497" si="450">($I473-BN473)*$AA473*($J473-$J472)</f>
        <v>17.497502062629902</v>
      </c>
      <c r="BP473" s="94">
        <f t="shared" ref="BP473:BP497" si="451">0.000000056703*$H$437*(($I473+273)^4-(BN473+273)^4)*($B$427/1000*PI())*($J473-$J472)</f>
        <v>0.21431159631408483</v>
      </c>
      <c r="BQ473" s="249">
        <f t="shared" ref="BQ473:BQ497" si="452">$AR473*($J473-$J472)*(BN473-$B473)</f>
        <v>17.288942891325391</v>
      </c>
      <c r="BR473" s="247">
        <f t="shared" ref="BR473:BR497" si="453">BJ473+(BK473+BL473-BM473)/(BK473+BL473-BM473-(BO473+BP473-BQ473))</f>
        <v>621.20430769844791</v>
      </c>
      <c r="BS473" s="248">
        <f t="shared" ref="BS473:BS497" si="454">($I473-BR473)*$AA473*($J473-$J472)</f>
        <v>17.284965652667292</v>
      </c>
      <c r="BT473" s="94">
        <f t="shared" ref="BT473:BT497" si="455">0.000000056703*$H$437*(($I473+273)^4-(BR473+273)^4)*($B$427/1000*PI())*($J473-$J472)</f>
        <v>0.21296693207601761</v>
      </c>
      <c r="BU473" s="249">
        <f t="shared" ref="BU473:BU498" si="456">$AR473*($J473-$J472)*(BR473-$B473)</f>
        <v>17.497946299238933</v>
      </c>
      <c r="BV473" s="283">
        <f t="shared" ref="BV473:BV498" si="457">(BU473+BT473+BS473)/2</f>
        <v>17.497939441991122</v>
      </c>
      <c r="BW473" s="282">
        <f t="shared" ref="BW473:BW498" si="458">D473+BV473/1000/$B$441</f>
        <v>2872.7532113008851</v>
      </c>
      <c r="BX473" s="265">
        <f t="shared" si="418"/>
        <v>207.73810121488296</v>
      </c>
      <c r="BY473" s="265">
        <f t="shared" si="419"/>
        <v>201.86393005320397</v>
      </c>
      <c r="BZ473" s="284">
        <f>(E472+I472)/2</f>
        <v>614.93991220743715</v>
      </c>
      <c r="CA473" s="248">
        <f t="shared" ref="CA473:CA497" si="459">($I473-BZ473)*$AA473*($J473-$J472)</f>
        <v>17.547108549588206</v>
      </c>
      <c r="CB473" s="94">
        <f t="shared" ref="CB473:CB497" si="460">0.000000056703*$H$437*(($I473+273)^4-(BZ473+273)^4)*($B$427/1000*PI())*($J473-$J472)</f>
        <v>0.21462214585595618</v>
      </c>
      <c r="CC473" s="249">
        <f t="shared" ref="CC473:CC497" si="461">$BI473*($J473-$J472)*(BZ473-$E473)</f>
        <v>25.019259070624297</v>
      </c>
      <c r="CD473" s="247">
        <f t="shared" ref="CD473:CD497" si="462">BZ473+1</f>
        <v>615.93991220743715</v>
      </c>
      <c r="CE473" s="248">
        <f t="shared" ref="CE473:CE497" si="463">($I473-CD473)*$AA473*($J473-$J472)</f>
        <v>17.505262070179764</v>
      </c>
      <c r="CF473" s="94">
        <f t="shared" ref="CF473:CF497" si="464">0.000000056703*$H$437*(($I473+273)^4-(CD473+273)^4)*($B$427/1000*PI())*($J473-$J472)</f>
        <v>0.21436025802064987</v>
      </c>
      <c r="CG473" s="249">
        <f t="shared" ref="CG473:CG497" si="465">$BI473*($J473-$J472)*(CD473-$E473)</f>
        <v>25.07892096828482</v>
      </c>
      <c r="CH473" s="247">
        <f t="shared" ref="CH473:CH497" si="466">BZ473+(CA473+CB473-CC473)/(CA473+CB473-CC473-(CE473+CF473-CG473))</f>
        <v>543.62705494007037</v>
      </c>
      <c r="CI473" s="248">
        <f t="shared" ref="CI473:CI497" si="467">($I473-CH473)*$AA473*($J473-$J472)</f>
        <v>20.531300562784157</v>
      </c>
      <c r="CJ473" s="94">
        <f t="shared" ref="CJ473:CJ497" si="468">0.000000056703*$H$437*(($I473+273)^4-(CH473+273)^4)*($B$427/1000*PI())*($J473-$J472)</f>
        <v>0.23113836108760716</v>
      </c>
      <c r="CK473" s="249">
        <f t="shared" ref="CK473:CK498" si="469">$BI473*($J473-$J472)*(CH473-$E473)</f>
        <v>20.764598678459173</v>
      </c>
      <c r="CL473" s="249">
        <f t="shared" ref="CL473:CL498" si="470">(CI473+CJ473+CK473)/2</f>
        <v>20.763518801165468</v>
      </c>
      <c r="CM473" s="249">
        <f t="shared" ref="CM473:CM498" si="471">CM472-CL473/1000/B$441</f>
        <v>2818.5326915151204</v>
      </c>
      <c r="CN473" s="265">
        <f t="shared" si="420"/>
        <v>181.64931888325637</v>
      </c>
      <c r="CO473" s="265">
        <f t="shared" si="421"/>
        <v>188.6266826316604</v>
      </c>
      <c r="CP473" s="94">
        <f t="shared" ref="CP473:CP497" si="472">0.000000056703*$H$437*(($I473+273)^4-(B$437+273)^4)*($B$426/1000*PI())*($J473-$J472)</f>
        <v>0.74770686787179441</v>
      </c>
      <c r="CQ473" s="157">
        <f t="shared" si="422"/>
        <v>101.44293041421626</v>
      </c>
      <c r="CR473" s="285">
        <f t="shared" si="423"/>
        <v>140.45317540253836</v>
      </c>
      <c r="CS473" s="157">
        <f t="shared" si="424"/>
        <v>314.79407190615899</v>
      </c>
      <c r="CT473" s="143">
        <f t="shared" si="425"/>
        <v>876.86389913707922</v>
      </c>
      <c r="CU473" s="247">
        <f t="shared" ref="CU473:CU497" si="473">BR473</f>
        <v>621.20430769844791</v>
      </c>
      <c r="CV473" s="248">
        <f t="shared" ref="CV473:CV497" si="474">($CT473-CU473)*$AA473*($J473-$J472)</f>
        <v>10.698453828707112</v>
      </c>
      <c r="CW473" s="94">
        <f t="shared" ref="CW473:CW497" si="475">0.000000056703*$H$437*(($CT473+273)^4-(CU473+273)^4)*($B$427/1000*PI())*($J473-$J472)</f>
        <v>0.1035214975337041</v>
      </c>
      <c r="CX473" s="249">
        <f t="shared" ref="CX473:CX497" si="476">$AR473*($J473-$J472)*(CU473-$BY473)</f>
        <v>17.256218661030761</v>
      </c>
      <c r="CY473" s="247">
        <f t="shared" ref="CY473:CY497" si="477">CU473+1</f>
        <v>622.20430769844791</v>
      </c>
      <c r="CZ473" s="248">
        <f t="shared" ref="CZ473:CZ497" si="478">($CT473-CY473)*$AA473*($J473-$J472)</f>
        <v>10.656607349298673</v>
      </c>
      <c r="DA473" s="94">
        <f t="shared" ref="DA473:DA497" si="479">0.000000056703*$H$437*(($CT473+273)^4-(CY473+273)^4)*($B$427/1000*PI())*($J473-$J472)</f>
        <v>0.10325403082879026</v>
      </c>
      <c r="DB473" s="249">
        <f t="shared" ref="DB473:DB497" si="480">$AR473*($J473-$J472)*(CY473-$BY473)</f>
        <v>17.297369524579679</v>
      </c>
      <c r="DC473" s="247">
        <f t="shared" ref="DC473:DC497" si="481">CU473+(CV473+CW473-CX473)/(CV473+CW473-CX473-(CZ473+DA473-DB473))</f>
        <v>543.68964861294853</v>
      </c>
      <c r="DD473" s="248">
        <f t="shared" ref="DD473:DD497" si="482">($CT473-DC473)*$AA473*($J473-$J472)</f>
        <v>13.942169413980784</v>
      </c>
      <c r="DE473" s="94">
        <f t="shared" ref="DE473:DE497" si="483">0.000000056703*$H$437*(($CT473+273)^4-(DC473+273)^4)*($B$427/1000*PI())*($J473-$J472)</f>
        <v>0.12168019495463631</v>
      </c>
      <c r="DF473" s="249">
        <f t="shared" ref="DF473:DF497" si="484">$AR473*($J473-$J472)*(DC473-$BY473)</f>
        <v>14.066423501962557</v>
      </c>
      <c r="DG473" s="283">
        <f t="shared" ref="DG473:DG497" si="485">(DF473+DE473+DD473)/2</f>
        <v>14.065136555448989</v>
      </c>
      <c r="DH473" s="282">
        <f t="shared" ref="DH473:DH498" si="486">DH472+DG473/1000/$B$441</f>
        <v>2867.9667642843715</v>
      </c>
      <c r="DI473" s="265">
        <f t="shared" si="426"/>
        <v>205.43327104906675</v>
      </c>
      <c r="DJ473" s="265">
        <f t="shared" si="427"/>
        <v>200.71151497029587</v>
      </c>
      <c r="DK473" s="284">
        <f t="shared" ref="DK473:DK497" si="487">CH473</f>
        <v>543.62705494007037</v>
      </c>
      <c r="DL473" s="248">
        <f t="shared" ref="DL473:DL497" si="488">($I473-DK473)*$AA473*($J473-$J472)</f>
        <v>20.531300562784157</v>
      </c>
      <c r="DM473" s="94">
        <f t="shared" ref="DM473:DM497" si="489">0.000000056703*$H$437*(($I473+273)^4-(DK473+273)^4)*($B$427/1000*PI())*($J473-$J472)</f>
        <v>0.23113836108760716</v>
      </c>
      <c r="DN473" s="249">
        <f t="shared" ref="DN473:DN497" si="490">$BI473*($J473-$J472)*(DK473-$E473)</f>
        <v>20.764598678459173</v>
      </c>
      <c r="DO473" s="247">
        <f t="shared" ref="DO473:DO497" si="491">DK473+1</f>
        <v>544.62705494007037</v>
      </c>
      <c r="DP473" s="248">
        <f t="shared" ref="DP473:DP497" si="492">($I473-DO473)*$AA473*($J473-$J472)</f>
        <v>20.489454083375715</v>
      </c>
      <c r="DQ473" s="94">
        <f t="shared" ref="DQ473:DQ497" si="493">0.000000056703*$H$437*(($I473+273)^4-(DO473+273)^4)*($B$427/1000*PI())*($J473-$J472)</f>
        <v>0.23093460999802953</v>
      </c>
      <c r="DR473" s="249">
        <f t="shared" ref="DR473:DR497" si="494">$BI473*($J473-$J472)*(DO473-$E473)</f>
        <v>20.824260576119695</v>
      </c>
      <c r="DS473" s="247">
        <f t="shared" ref="DS473:DS497" si="495">DK473+(DL473+DM473-DN473)/(DL473+DM473-DN473-(DP473+DQ473-DR473))</f>
        <v>543.60582094736458</v>
      </c>
      <c r="DT473" s="248">
        <f t="shared" ref="DT473:DT497" si="496">($I473-DS473)*$AA473*($J473-$J472)</f>
        <v>20.53218913062268</v>
      </c>
      <c r="DU473" s="94">
        <f t="shared" ref="DU473:DU497" si="497">0.000000056703*$H$437*(($I473+273)^4-(DS473+273)^4)*($B$427/1000*PI())*($J473-$J472)</f>
        <v>0.23114267942950445</v>
      </c>
      <c r="DV473" s="249">
        <f t="shared" ref="DV473:DV497" si="498">$BI473*($J473-$J472)*(DS473-$E473)</f>
        <v>20.763331818159436</v>
      </c>
      <c r="DW473" s="249">
        <f t="shared" ref="DW473:DW497" si="499">(DT473+DU473+DV473)/2</f>
        <v>20.763331814105811</v>
      </c>
      <c r="DX473" s="249">
        <f t="shared" ref="DX473:DX498" si="500">DX472-DW473/1000/$B$441</f>
        <v>2818.5329522360771</v>
      </c>
      <c r="DY473" s="265">
        <f t="shared" si="428"/>
        <v>181.6494444196862</v>
      </c>
      <c r="DZ473" s="265">
        <f t="shared" si="429"/>
        <v>188.62674539987535</v>
      </c>
      <c r="EA473" s="94">
        <f t="shared" ref="EA473:EA498" si="501">0.000000056703*$H$437*(($CT473+273)^4-(B$437+273)^4)*($B$426/1000*PI())*($J473-$J472)</f>
        <v>0.44388634158233203</v>
      </c>
      <c r="EB473" s="157">
        <f t="shared" si="430"/>
        <v>83.158773590902811</v>
      </c>
      <c r="EC473" s="285">
        <f t="shared" ref="EC473:EC497" si="502">EB473+EA473+DV473+DG473</f>
        <v>118.43112830609357</v>
      </c>
      <c r="ED473" s="157">
        <f t="shared" ref="ED473:ED498" si="503">EC473/1000/B$422/B$421</f>
        <v>265.43662692614481</v>
      </c>
      <c r="EE473" s="143">
        <f t="shared" si="431"/>
        <v>901.54262162708631</v>
      </c>
    </row>
    <row r="474" spans="1:135" ht="12" customHeight="1" x14ac:dyDescent="0.2">
      <c r="A474" s="200" t="s">
        <v>442</v>
      </c>
      <c r="B474" s="236">
        <f t="shared" si="432"/>
        <v>207.73810121488296</v>
      </c>
      <c r="C474" s="237">
        <f t="shared" si="433"/>
        <v>4.9795366028671628</v>
      </c>
      <c r="D474" s="236">
        <f t="shared" si="434"/>
        <v>2872.7532113008851</v>
      </c>
      <c r="E474" s="236">
        <f t="shared" ref="E474:E499" si="504">CN473</f>
        <v>181.64931888325637</v>
      </c>
      <c r="F474" s="237">
        <f t="shared" si="435"/>
        <v>4.9881282836740075</v>
      </c>
      <c r="G474" s="238">
        <f t="shared" si="436"/>
        <v>2818.5329522360771</v>
      </c>
      <c r="H474" s="118">
        <v>0</v>
      </c>
      <c r="I474" s="239">
        <f t="shared" si="437"/>
        <v>768.82430816401393</v>
      </c>
      <c r="J474" s="154">
        <f t="shared" si="438"/>
        <v>2.4258064516129038E-2</v>
      </c>
      <c r="K474" s="149">
        <f t="shared" si="376"/>
        <v>0.2586044593786454</v>
      </c>
      <c r="L474" s="240">
        <f t="shared" si="377"/>
        <v>768.82430816401393</v>
      </c>
      <c r="M474" s="154">
        <f t="shared" si="378"/>
        <v>0.33665238485328919</v>
      </c>
      <c r="N474" s="241">
        <f t="shared" si="379"/>
        <v>768.82430816401393</v>
      </c>
      <c r="O474" s="150">
        <f t="shared" si="380"/>
        <v>1.193989047075396</v>
      </c>
      <c r="P474" s="150">
        <f t="shared" si="381"/>
        <v>6.6072060093385696</v>
      </c>
      <c r="Q474" s="152">
        <f t="shared" si="382"/>
        <v>4.2651918230801923E-5</v>
      </c>
      <c r="R474" s="152">
        <f t="shared" si="439"/>
        <v>395.65398612941902</v>
      </c>
      <c r="S474" s="153">
        <f t="shared" si="383"/>
        <v>0.16175750085597648</v>
      </c>
      <c r="T474" s="154">
        <f t="shared" si="384"/>
        <v>1.9003054132492878</v>
      </c>
      <c r="U474" s="155">
        <f t="shared" si="385"/>
        <v>0.70372610960802595</v>
      </c>
      <c r="V474" s="154">
        <f t="shared" si="386"/>
        <v>6.8695264285464019E-2</v>
      </c>
      <c r="W474" s="154">
        <f t="shared" si="440"/>
        <v>0.67878615569950695</v>
      </c>
      <c r="X474" s="154">
        <f t="shared" si="441"/>
        <v>0.50235554305303975</v>
      </c>
      <c r="Y474" s="154">
        <f t="shared" si="387"/>
        <v>9.76208039243744</v>
      </c>
      <c r="Z474" s="154">
        <f t="shared" si="388"/>
        <v>88.392335413486848</v>
      </c>
      <c r="AA474" s="154">
        <f t="shared" si="389"/>
        <v>1.76334871846096</v>
      </c>
      <c r="AB474" s="1"/>
      <c r="AC474" s="242">
        <f t="shared" si="390"/>
        <v>0.11859081255747968</v>
      </c>
      <c r="AD474" s="263">
        <f t="shared" si="391"/>
        <v>2.3030445321466755</v>
      </c>
      <c r="AE474" s="282">
        <f t="shared" si="392"/>
        <v>207.73810121488296</v>
      </c>
      <c r="AF474" s="243">
        <f t="shared" si="393"/>
        <v>0.31141051675692538</v>
      </c>
      <c r="AG474" s="243">
        <f t="shared" si="394"/>
        <v>19.397062089827397</v>
      </c>
      <c r="AH474" s="264">
        <f t="shared" si="395"/>
        <v>1.6440121306637544E-5</v>
      </c>
      <c r="AI474" s="264">
        <f t="shared" si="396"/>
        <v>12285.334699270228</v>
      </c>
      <c r="AJ474" s="245">
        <f t="shared" si="397"/>
        <v>4.4205734664311665E-2</v>
      </c>
      <c r="AK474" s="264">
        <f t="shared" si="398"/>
        <v>51.380141585425854</v>
      </c>
      <c r="AL474" s="246">
        <f t="shared" si="399"/>
        <v>1.0023784363618473</v>
      </c>
      <c r="AM474" s="263">
        <f t="shared" si="400"/>
        <v>3.576654757401624E-2</v>
      </c>
      <c r="AN474" s="263">
        <f t="shared" si="442"/>
        <v>0.56357467070747869</v>
      </c>
      <c r="AO474" s="263">
        <f t="shared" si="443"/>
        <v>0.42622067475396413</v>
      </c>
      <c r="AP474" s="235">
        <f t="shared" si="401"/>
        <v>18.335156814253367</v>
      </c>
      <c r="AQ474" s="235">
        <f t="shared" si="402"/>
        <v>145.04672619526701</v>
      </c>
      <c r="AR474" s="263">
        <f t="shared" si="403"/>
        <v>2.0602101503545311</v>
      </c>
      <c r="AT474" s="242">
        <f t="shared" si="404"/>
        <v>0.11785102435618756</v>
      </c>
      <c r="AU474" s="263">
        <f t="shared" si="405"/>
        <v>2.6698749895358951</v>
      </c>
      <c r="AV474" s="282">
        <f t="shared" si="406"/>
        <v>181.64931888325637</v>
      </c>
      <c r="AW474" s="243">
        <f t="shared" si="407"/>
        <v>0.26862392085057035</v>
      </c>
      <c r="AX474" s="243">
        <f t="shared" si="408"/>
        <v>16.731981070563887</v>
      </c>
      <c r="AY474" s="264">
        <f t="shared" si="409"/>
        <v>1.5357635428448583E-5</v>
      </c>
      <c r="AZ474" s="264">
        <f t="shared" si="410"/>
        <v>13151.268871411745</v>
      </c>
      <c r="BA474" s="245">
        <f t="shared" si="411"/>
        <v>4.3929972316210229E-2</v>
      </c>
      <c r="BB474" s="264">
        <f t="shared" si="412"/>
        <v>44.044230042333901</v>
      </c>
      <c r="BC474" s="246">
        <f t="shared" si="413"/>
        <v>1.0278249028737529</v>
      </c>
      <c r="BD474" s="263">
        <f t="shared" si="414"/>
        <v>3.3684752161071856E-2</v>
      </c>
      <c r="BE474" s="263">
        <f t="shared" si="444"/>
        <v>1.0541815504144378</v>
      </c>
      <c r="BF474" s="263">
        <f t="shared" si="445"/>
        <v>1.0164972687160532</v>
      </c>
      <c r="BG474" s="235">
        <f t="shared" si="415"/>
        <v>46.641856865356942</v>
      </c>
      <c r="BH474" s="235">
        <f t="shared" si="416"/>
        <v>347.50052836453523</v>
      </c>
      <c r="BI474" s="263">
        <f t="shared" si="417"/>
        <v>4.9358171298976847</v>
      </c>
      <c r="BJ474" s="247">
        <f t="shared" ref="BJ474:BJ497" si="505">BR473</f>
        <v>621.20430769844791</v>
      </c>
      <c r="BK474" s="248">
        <f t="shared" si="446"/>
        <v>3.1572542751193873</v>
      </c>
      <c r="BL474" s="94">
        <f t="shared" si="447"/>
        <v>5.0296662498900323E-2</v>
      </c>
      <c r="BM474" s="249">
        <f t="shared" si="448"/>
        <v>10.331840501941443</v>
      </c>
      <c r="BN474" s="247">
        <f t="shared" si="449"/>
        <v>622.20430769844791</v>
      </c>
      <c r="BO474" s="248">
        <f t="shared" si="450"/>
        <v>3.1358665616309573</v>
      </c>
      <c r="BP474" s="94">
        <f t="shared" si="451"/>
        <v>5.0029195793986493E-2</v>
      </c>
      <c r="BQ474" s="249">
        <f t="shared" si="452"/>
        <v>10.356828857313484</v>
      </c>
      <c r="BR474" s="247">
        <f t="shared" si="453"/>
        <v>468.46525226521953</v>
      </c>
      <c r="BS474" s="248">
        <f t="shared" si="454"/>
        <v>6.4239934312186593</v>
      </c>
      <c r="BT474" s="94">
        <f t="shared" si="455"/>
        <v>8.177040607796153E-2</v>
      </c>
      <c r="BU474" s="249">
        <f t="shared" si="456"/>
        <v>6.5151427055859008</v>
      </c>
      <c r="BV474" s="283">
        <f t="shared" si="457"/>
        <v>6.5104532714412606</v>
      </c>
      <c r="BW474" s="282">
        <f t="shared" si="458"/>
        <v>2881.8309068945964</v>
      </c>
      <c r="BX474" s="265">
        <f t="shared" si="418"/>
        <v>212.10813956817907</v>
      </c>
      <c r="BY474" s="265">
        <f t="shared" si="419"/>
        <v>206.98603481069154</v>
      </c>
      <c r="BZ474" s="284">
        <f t="shared" ref="BZ474:BZ497" si="506">CH473</f>
        <v>543.62705494007037</v>
      </c>
      <c r="CA474" s="248">
        <f t="shared" si="459"/>
        <v>4.81645433033506</v>
      </c>
      <c r="CB474" s="94">
        <f t="shared" si="460"/>
        <v>6.846809151048984E-2</v>
      </c>
      <c r="CC474" s="249">
        <f t="shared" si="461"/>
        <v>21.670407169736226</v>
      </c>
      <c r="CD474" s="247">
        <f t="shared" si="462"/>
        <v>544.62705494007037</v>
      </c>
      <c r="CE474" s="248">
        <f t="shared" si="463"/>
        <v>4.79506661684663</v>
      </c>
      <c r="CF474" s="94">
        <f t="shared" si="464"/>
        <v>6.8264340420912242E-2</v>
      </c>
      <c r="CG474" s="249">
        <f t="shared" si="465"/>
        <v>21.730273854924665</v>
      </c>
      <c r="CH474" s="247">
        <f t="shared" si="466"/>
        <v>337.56437372256397</v>
      </c>
      <c r="CI474" s="248">
        <f t="shared" si="467"/>
        <v>9.223663916872713</v>
      </c>
      <c r="CJ474" s="94">
        <f t="shared" si="468"/>
        <v>9.7014239887509277E-2</v>
      </c>
      <c r="CK474" s="249">
        <f t="shared" si="469"/>
        <v>9.3341175042026325</v>
      </c>
      <c r="CL474" s="249">
        <f t="shared" si="470"/>
        <v>9.3273978304814271</v>
      </c>
      <c r="CM474" s="249">
        <f t="shared" si="471"/>
        <v>2805.5272563086392</v>
      </c>
      <c r="CN474" s="265">
        <f t="shared" si="420"/>
        <v>175.38842844803065</v>
      </c>
      <c r="CO474" s="265">
        <f t="shared" si="421"/>
        <v>182.00755553984553</v>
      </c>
      <c r="CP474" s="94">
        <f t="shared" si="472"/>
        <v>0.2961341995257169</v>
      </c>
      <c r="CQ474" s="157">
        <f t="shared" si="422"/>
        <v>36.087846978073046</v>
      </c>
      <c r="CR474" s="285">
        <f t="shared" si="423"/>
        <v>52.228551953242658</v>
      </c>
      <c r="CS474" s="157">
        <f t="shared" si="424"/>
        <v>117.0585036045151</v>
      </c>
      <c r="CT474" s="143">
        <f t="shared" si="425"/>
        <v>710.29505636175634</v>
      </c>
      <c r="CU474" s="247">
        <f t="shared" si="473"/>
        <v>468.46525226521953</v>
      </c>
      <c r="CV474" s="248">
        <f t="shared" si="474"/>
        <v>5.1721865629798156</v>
      </c>
      <c r="CW474" s="94">
        <f t="shared" si="475"/>
        <v>5.9059812348880199E-2</v>
      </c>
      <c r="CX474" s="249">
        <f t="shared" si="476"/>
        <v>6.5339356081572086</v>
      </c>
      <c r="CY474" s="247">
        <f t="shared" si="477"/>
        <v>469.46525226521953</v>
      </c>
      <c r="CZ474" s="248">
        <f t="shared" si="478"/>
        <v>5.1507988494913857</v>
      </c>
      <c r="DA474" s="94">
        <f t="shared" si="479"/>
        <v>5.8907272994260955E-2</v>
      </c>
      <c r="DB474" s="249">
        <f t="shared" si="480"/>
        <v>6.5589239635292511</v>
      </c>
      <c r="DC474" s="247">
        <f t="shared" si="481"/>
        <v>440.46765502769944</v>
      </c>
      <c r="DD474" s="248">
        <f t="shared" si="482"/>
        <v>5.7709911510603469</v>
      </c>
      <c r="DE474" s="94">
        <f t="shared" si="483"/>
        <v>6.3086532720536034E-2</v>
      </c>
      <c r="DF474" s="249">
        <f t="shared" si="484"/>
        <v>5.8343216988227535</v>
      </c>
      <c r="DG474" s="283">
        <f t="shared" si="485"/>
        <v>5.8341996913018184</v>
      </c>
      <c r="DH474" s="282">
        <f t="shared" si="486"/>
        <v>2876.101541791013</v>
      </c>
      <c r="DI474" s="265">
        <f t="shared" si="426"/>
        <v>209.34925045218486</v>
      </c>
      <c r="DJ474" s="265">
        <f t="shared" si="427"/>
        <v>205.03038271124035</v>
      </c>
      <c r="DK474" s="284">
        <f t="shared" si="487"/>
        <v>337.56437372256397</v>
      </c>
      <c r="DL474" s="248">
        <f t="shared" si="488"/>
        <v>9.223663916872713</v>
      </c>
      <c r="DM474" s="94">
        <f t="shared" si="489"/>
        <v>9.7014239887509277E-2</v>
      </c>
      <c r="DN474" s="249">
        <f t="shared" si="490"/>
        <v>9.3341175042026325</v>
      </c>
      <c r="DO474" s="247">
        <f t="shared" si="491"/>
        <v>338.56437372256397</v>
      </c>
      <c r="DP474" s="248">
        <f t="shared" si="492"/>
        <v>9.2022762033842831</v>
      </c>
      <c r="DQ474" s="94">
        <f t="shared" si="493"/>
        <v>9.6929029568698477E-2</v>
      </c>
      <c r="DR474" s="249">
        <f t="shared" si="494"/>
        <v>9.3939841893910696</v>
      </c>
      <c r="DS474" s="247">
        <f t="shared" si="495"/>
        <v>337.39914859290883</v>
      </c>
      <c r="DT474" s="248">
        <f t="shared" si="496"/>
        <v>9.2271977046068656</v>
      </c>
      <c r="DU474" s="94">
        <f t="shared" si="497"/>
        <v>9.7028278532649365E-2</v>
      </c>
      <c r="DV474" s="249">
        <f t="shared" si="498"/>
        <v>9.3242260233803496</v>
      </c>
      <c r="DW474" s="249">
        <f t="shared" si="499"/>
        <v>9.3242260032599322</v>
      </c>
      <c r="DX474" s="249">
        <f t="shared" si="500"/>
        <v>2805.5319395914039</v>
      </c>
      <c r="DY474" s="265">
        <f t="shared" si="428"/>
        <v>175.39068342636438</v>
      </c>
      <c r="DZ474" s="265">
        <f t="shared" si="429"/>
        <v>182.00871441311986</v>
      </c>
      <c r="EA474" s="94">
        <f t="shared" si="501"/>
        <v>0.23308959133378709</v>
      </c>
      <c r="EB474" s="157">
        <f t="shared" si="430"/>
        <v>32.612831111842013</v>
      </c>
      <c r="EC474" s="285">
        <f t="shared" si="502"/>
        <v>48.004346417857967</v>
      </c>
      <c r="ED474" s="157">
        <f t="shared" si="503"/>
        <v>107.59090091599482</v>
      </c>
      <c r="EE474" s="143">
        <f t="shared" si="431"/>
        <v>715.02885770601654</v>
      </c>
    </row>
    <row r="475" spans="1:135" ht="12" customHeight="1" x14ac:dyDescent="0.2">
      <c r="A475" s="200" t="s">
        <v>442</v>
      </c>
      <c r="B475" s="236">
        <f t="shared" si="432"/>
        <v>212.10813956817907</v>
      </c>
      <c r="C475" s="237">
        <f t="shared" si="433"/>
        <v>4.9790228014513085</v>
      </c>
      <c r="D475" s="236">
        <f t="shared" si="434"/>
        <v>2881.8309068945964</v>
      </c>
      <c r="E475" s="236">
        <f t="shared" si="504"/>
        <v>175.38842844803065</v>
      </c>
      <c r="F475" s="237">
        <f t="shared" si="435"/>
        <v>4.9885687259744307</v>
      </c>
      <c r="G475" s="238">
        <f t="shared" si="436"/>
        <v>2805.5319395914039</v>
      </c>
      <c r="H475" s="118">
        <v>0</v>
      </c>
      <c r="I475" s="239">
        <f t="shared" si="437"/>
        <v>661.23340724801915</v>
      </c>
      <c r="J475" s="154">
        <f t="shared" si="438"/>
        <v>3.6387096774193557E-2</v>
      </c>
      <c r="K475" s="149">
        <f t="shared" si="376"/>
        <v>0.2419359726903168</v>
      </c>
      <c r="L475" s="240">
        <f t="shared" si="377"/>
        <v>661.23340724801915</v>
      </c>
      <c r="M475" s="154">
        <f t="shared" si="378"/>
        <v>0.36958051031389771</v>
      </c>
      <c r="N475" s="241">
        <f t="shared" si="379"/>
        <v>661.23340724801915</v>
      </c>
      <c r="O475" s="150">
        <f t="shared" si="380"/>
        <v>1.0876094625369723</v>
      </c>
      <c r="P475" s="150">
        <f t="shared" si="381"/>
        <v>6.0185307346743206</v>
      </c>
      <c r="Q475" s="152">
        <f t="shared" si="382"/>
        <v>3.9902766367875815E-5</v>
      </c>
      <c r="R475" s="152">
        <f t="shared" si="439"/>
        <v>422.91307095110471</v>
      </c>
      <c r="S475" s="153">
        <f t="shared" si="383"/>
        <v>0.15133133590803438</v>
      </c>
      <c r="T475" s="154">
        <f t="shared" si="384"/>
        <v>1.6194236503570771</v>
      </c>
      <c r="U475" s="155">
        <f t="shared" si="385"/>
        <v>0.69704135657655086</v>
      </c>
      <c r="V475" s="154">
        <f t="shared" si="386"/>
        <v>6.3308295467501066E-2</v>
      </c>
      <c r="W475" s="154">
        <f t="shared" si="440"/>
        <v>0.59297440549601277</v>
      </c>
      <c r="X475" s="154">
        <f t="shared" si="441"/>
        <v>0.4213509050890244</v>
      </c>
      <c r="Y475" s="154">
        <f t="shared" si="387"/>
        <v>8.3452338523080591</v>
      </c>
      <c r="Z475" s="154">
        <f t="shared" si="388"/>
        <v>69.63772292165838</v>
      </c>
      <c r="AA475" s="154">
        <f t="shared" si="389"/>
        <v>1.3892108280206121</v>
      </c>
      <c r="AB475" s="1"/>
      <c r="AC475" s="242">
        <f t="shared" si="390"/>
        <v>0.11871371422104809</v>
      </c>
      <c r="AD475" s="263">
        <f t="shared" si="391"/>
        <v>2.2797542350712194</v>
      </c>
      <c r="AE475" s="282">
        <f t="shared" si="392"/>
        <v>212.10813956817907</v>
      </c>
      <c r="AF475" s="243">
        <f t="shared" si="393"/>
        <v>0.31459193137439334</v>
      </c>
      <c r="AG475" s="243">
        <f t="shared" si="394"/>
        <v>19.595225265275573</v>
      </c>
      <c r="AH475" s="264">
        <f t="shared" si="395"/>
        <v>1.6621478949552858E-5</v>
      </c>
      <c r="AI475" s="264">
        <f t="shared" si="396"/>
        <v>12151.288905255891</v>
      </c>
      <c r="AJ475" s="245">
        <f t="shared" si="397"/>
        <v>4.4251547305378391E-2</v>
      </c>
      <c r="AK475" s="264">
        <f t="shared" si="398"/>
        <v>51.958840329733519</v>
      </c>
      <c r="AL475" s="246">
        <f t="shared" si="399"/>
        <v>0.99849877104195428</v>
      </c>
      <c r="AM475" s="263">
        <f t="shared" si="400"/>
        <v>3.6127570704940312E-2</v>
      </c>
      <c r="AN475" s="263">
        <f t="shared" si="442"/>
        <v>0.49451290707769091</v>
      </c>
      <c r="AO475" s="263">
        <f t="shared" si="443"/>
        <v>0.35638937981811541</v>
      </c>
      <c r="AP475" s="235">
        <f t="shared" si="401"/>
        <v>15.173629692798777</v>
      </c>
      <c r="AQ475" s="235">
        <f t="shared" si="402"/>
        <v>121.24798274289338</v>
      </c>
      <c r="AR475" s="263">
        <f t="shared" si="403"/>
        <v>1.7221783028776216</v>
      </c>
      <c r="AT475" s="242">
        <f t="shared" si="404"/>
        <v>0.11767189314634736</v>
      </c>
      <c r="AU475" s="263">
        <f t="shared" si="405"/>
        <v>2.6700970842533613</v>
      </c>
      <c r="AV475" s="282">
        <f t="shared" si="406"/>
        <v>175.38842844803065</v>
      </c>
      <c r="AW475" s="243">
        <f t="shared" si="407"/>
        <v>0.26860157711102706</v>
      </c>
      <c r="AX475" s="243">
        <f t="shared" si="408"/>
        <v>16.73058932918099</v>
      </c>
      <c r="AY475" s="264">
        <f t="shared" si="409"/>
        <v>1.5097908349726761E-5</v>
      </c>
      <c r="AZ475" s="264">
        <f t="shared" si="410"/>
        <v>13377.508199823011</v>
      </c>
      <c r="BA475" s="245">
        <f t="shared" si="411"/>
        <v>4.3863199633221356E-2</v>
      </c>
      <c r="BB475" s="264">
        <f t="shared" si="412"/>
        <v>43.973625724609086</v>
      </c>
      <c r="BC475" s="246">
        <f t="shared" si="413"/>
        <v>1.0344711801729671</v>
      </c>
      <c r="BD475" s="263">
        <f t="shared" si="414"/>
        <v>3.3202512838989853E-2</v>
      </c>
      <c r="BE475" s="263">
        <f t="shared" si="444"/>
        <v>1.0558199974448026</v>
      </c>
      <c r="BF475" s="263">
        <f t="shared" si="445"/>
        <v>1.0170072984831968</v>
      </c>
      <c r="BG475" s="235">
        <f t="shared" si="415"/>
        <v>47.428506013622197</v>
      </c>
      <c r="BH475" s="235">
        <f t="shared" si="416"/>
        <v>348.30257008126131</v>
      </c>
      <c r="BI475" s="263">
        <f t="shared" si="417"/>
        <v>4.9472091449341518</v>
      </c>
      <c r="BJ475" s="247">
        <f t="shared" si="505"/>
        <v>468.46525226521953</v>
      </c>
      <c r="BK475" s="248">
        <f t="shared" si="446"/>
        <v>3.2481015704216927</v>
      </c>
      <c r="BL475" s="94">
        <f t="shared" si="447"/>
        <v>4.2901617829729885E-2</v>
      </c>
      <c r="BM475" s="249">
        <f t="shared" si="448"/>
        <v>5.3548786817894793</v>
      </c>
      <c r="BN475" s="247">
        <f t="shared" si="449"/>
        <v>469.46525226521953</v>
      </c>
      <c r="BO475" s="248">
        <f t="shared" si="450"/>
        <v>3.2312517874753781</v>
      </c>
      <c r="BP475" s="94">
        <f t="shared" si="451"/>
        <v>4.2749078475110641E-2</v>
      </c>
      <c r="BQ475" s="249">
        <f t="shared" si="452"/>
        <v>5.3757670379792204</v>
      </c>
      <c r="BR475" s="247">
        <f t="shared" si="453"/>
        <v>413.99603778424904</v>
      </c>
      <c r="BS475" s="248">
        <f t="shared" si="454"/>
        <v>4.165896011682297</v>
      </c>
      <c r="BT475" s="94">
        <f t="shared" si="455"/>
        <v>5.0323747995396725E-2</v>
      </c>
      <c r="BU475" s="249">
        <f t="shared" si="456"/>
        <v>4.217106328335543</v>
      </c>
      <c r="BV475" s="283">
        <f t="shared" si="457"/>
        <v>4.2166630440066184</v>
      </c>
      <c r="BW475" s="282">
        <f t="shared" si="458"/>
        <v>2887.7103106686245</v>
      </c>
      <c r="BX475" s="265">
        <f t="shared" si="418"/>
        <v>214.93808737189809</v>
      </c>
      <c r="BY475" s="265">
        <f t="shared" si="419"/>
        <v>210.9620610912948</v>
      </c>
      <c r="BZ475" s="284">
        <f t="shared" si="506"/>
        <v>337.56437372256397</v>
      </c>
      <c r="CA475" s="248">
        <f t="shared" si="459"/>
        <v>5.4537529613473197</v>
      </c>
      <c r="CB475" s="94">
        <f t="shared" si="460"/>
        <v>5.8145451639277618E-2</v>
      </c>
      <c r="CC475" s="249">
        <f t="shared" si="461"/>
        <v>9.7313447790642744</v>
      </c>
      <c r="CD475" s="247">
        <f t="shared" si="462"/>
        <v>338.56437372256397</v>
      </c>
      <c r="CE475" s="248">
        <f t="shared" si="463"/>
        <v>5.4369031784010042</v>
      </c>
      <c r="CF475" s="94">
        <f t="shared" si="464"/>
        <v>5.8060241320466832E-2</v>
      </c>
      <c r="CG475" s="249">
        <f t="shared" si="465"/>
        <v>9.7913496383705727</v>
      </c>
      <c r="CH475" s="247">
        <f t="shared" si="466"/>
        <v>282.72353084259225</v>
      </c>
      <c r="CI475" s="248">
        <f t="shared" si="467"/>
        <v>6.3778092604677816</v>
      </c>
      <c r="CJ475" s="94">
        <f t="shared" si="468"/>
        <v>6.2215706826553946E-2</v>
      </c>
      <c r="CK475" s="249">
        <f t="shared" si="469"/>
        <v>6.4406277178127702</v>
      </c>
      <c r="CL475" s="249">
        <f t="shared" si="470"/>
        <v>6.4403263425535524</v>
      </c>
      <c r="CM475" s="249">
        <f t="shared" si="471"/>
        <v>2796.5473405294542</v>
      </c>
      <c r="CN475" s="265">
        <f t="shared" si="420"/>
        <v>171.06584709543392</v>
      </c>
      <c r="CO475" s="265">
        <f t="shared" si="421"/>
        <v>176.53670131763971</v>
      </c>
      <c r="CP475" s="94">
        <f t="shared" si="472"/>
        <v>0.18823444334862585</v>
      </c>
      <c r="CQ475" s="157">
        <f t="shared" si="422"/>
        <v>23.398356696965649</v>
      </c>
      <c r="CR475" s="285">
        <f t="shared" si="423"/>
        <v>34.243881902133666</v>
      </c>
      <c r="CS475" s="157">
        <f t="shared" si="424"/>
        <v>76.74992744700495</v>
      </c>
      <c r="CT475" s="143">
        <f t="shared" si="425"/>
        <v>622.8584435245167</v>
      </c>
      <c r="CU475" s="247">
        <f t="shared" si="473"/>
        <v>413.99603778424904</v>
      </c>
      <c r="CV475" s="248">
        <f t="shared" si="474"/>
        <v>3.5192862023685874</v>
      </c>
      <c r="CW475" s="94">
        <f t="shared" si="475"/>
        <v>3.9338785620616941E-2</v>
      </c>
      <c r="CX475" s="249">
        <f t="shared" si="476"/>
        <v>4.2410460237820979</v>
      </c>
      <c r="CY475" s="247">
        <f t="shared" si="477"/>
        <v>414.99603778424904</v>
      </c>
      <c r="CZ475" s="248">
        <f t="shared" si="478"/>
        <v>3.5024364194222728</v>
      </c>
      <c r="DA475" s="94">
        <f t="shared" si="479"/>
        <v>3.9217435046550779E-2</v>
      </c>
      <c r="DB475" s="249">
        <f t="shared" si="480"/>
        <v>4.2619343799718399</v>
      </c>
      <c r="DC475" s="247">
        <f t="shared" si="481"/>
        <v>395.97093916253067</v>
      </c>
      <c r="DD475" s="248">
        <f t="shared" si="482"/>
        <v>3.8230052017304548</v>
      </c>
      <c r="DE475" s="94">
        <f t="shared" si="483"/>
        <v>4.143696562917517E-2</v>
      </c>
      <c r="DF475" s="249">
        <f t="shared" si="484"/>
        <v>3.8645313434164263</v>
      </c>
      <c r="DG475" s="283">
        <f t="shared" si="485"/>
        <v>3.864486755388028</v>
      </c>
      <c r="DH475" s="282">
        <f t="shared" si="486"/>
        <v>2881.4898969375317</v>
      </c>
      <c r="DI475" s="265">
        <f t="shared" si="426"/>
        <v>211.94272646810299</v>
      </c>
      <c r="DJ475" s="265">
        <f t="shared" si="427"/>
        <v>208.48655458967167</v>
      </c>
      <c r="DK475" s="284">
        <f t="shared" si="487"/>
        <v>282.72353084259225</v>
      </c>
      <c r="DL475" s="248">
        <f t="shared" si="488"/>
        <v>6.3778092604677816</v>
      </c>
      <c r="DM475" s="94">
        <f t="shared" si="489"/>
        <v>6.2215706826553946E-2</v>
      </c>
      <c r="DN475" s="249">
        <f t="shared" si="490"/>
        <v>6.4406277178127702</v>
      </c>
      <c r="DO475" s="247">
        <f t="shared" si="491"/>
        <v>283.72353084259225</v>
      </c>
      <c r="DP475" s="248">
        <f t="shared" si="492"/>
        <v>6.3609594775214671</v>
      </c>
      <c r="DQ475" s="94">
        <f t="shared" si="493"/>
        <v>6.2151441098715114E-2</v>
      </c>
      <c r="DR475" s="249">
        <f t="shared" si="494"/>
        <v>6.5006325771190685</v>
      </c>
      <c r="DS475" s="247">
        <f t="shared" si="495"/>
        <v>282.71569466116091</v>
      </c>
      <c r="DT475" s="248">
        <f t="shared" si="496"/>
        <v>6.3779412984240267</v>
      </c>
      <c r="DU475" s="94">
        <f t="shared" si="497"/>
        <v>6.2216209056567336E-2</v>
      </c>
      <c r="DV475" s="249">
        <f t="shared" si="498"/>
        <v>6.4401575088484844</v>
      </c>
      <c r="DW475" s="249">
        <f t="shared" si="499"/>
        <v>6.440157508164539</v>
      </c>
      <c r="DX475" s="249">
        <f t="shared" si="500"/>
        <v>2796.5522592224315</v>
      </c>
      <c r="DY475" s="265">
        <f t="shared" si="428"/>
        <v>171.06821541266839</v>
      </c>
      <c r="DZ475" s="265">
        <f t="shared" si="429"/>
        <v>176.53846491289414</v>
      </c>
      <c r="EA475" s="94">
        <f t="shared" si="501"/>
        <v>0.15774018779623716</v>
      </c>
      <c r="EB475" s="157">
        <f t="shared" si="430"/>
        <v>21.603367866310794</v>
      </c>
      <c r="EC475" s="285">
        <f t="shared" si="502"/>
        <v>32.065752318343542</v>
      </c>
      <c r="ED475" s="157">
        <f t="shared" si="503"/>
        <v>71.868141906340213</v>
      </c>
      <c r="EE475" s="143">
        <f t="shared" si="431"/>
        <v>625.29933629484901</v>
      </c>
    </row>
    <row r="476" spans="1:135" ht="12" customHeight="1" x14ac:dyDescent="0.2">
      <c r="A476" s="200" t="s">
        <v>442</v>
      </c>
      <c r="B476" s="236">
        <f t="shared" si="432"/>
        <v>214.93808737189809</v>
      </c>
      <c r="C476" s="237">
        <f t="shared" si="433"/>
        <v>4.9785032130480111</v>
      </c>
      <c r="D476" s="236">
        <f t="shared" si="434"/>
        <v>2887.7103106686245</v>
      </c>
      <c r="E476" s="236">
        <f t="shared" si="504"/>
        <v>171.06584709543392</v>
      </c>
      <c r="F476" s="237">
        <f t="shared" si="435"/>
        <v>4.989008462231677</v>
      </c>
      <c r="G476" s="238">
        <f t="shared" si="436"/>
        <v>2796.5522592224315</v>
      </c>
      <c r="H476" s="118">
        <v>0</v>
      </c>
      <c r="I476" s="239">
        <f t="shared" si="437"/>
        <v>589.36526534167888</v>
      </c>
      <c r="J476" s="154">
        <f t="shared" si="438"/>
        <v>4.8516129032258076E-2</v>
      </c>
      <c r="K476" s="149">
        <f t="shared" si="376"/>
        <v>0.23011254917274607</v>
      </c>
      <c r="L476" s="240">
        <f t="shared" si="377"/>
        <v>589.36526534167888</v>
      </c>
      <c r="M476" s="154">
        <f t="shared" si="378"/>
        <v>0.39686303174867671</v>
      </c>
      <c r="N476" s="241">
        <f t="shared" si="379"/>
        <v>589.36526534167888</v>
      </c>
      <c r="O476" s="150">
        <f t="shared" si="380"/>
        <v>1.0128412777967912</v>
      </c>
      <c r="P476" s="150">
        <f t="shared" si="381"/>
        <v>5.6047842260838898</v>
      </c>
      <c r="Q476" s="152">
        <f t="shared" si="382"/>
        <v>3.7952716108529014E-5</v>
      </c>
      <c r="R476" s="152">
        <f t="shared" si="439"/>
        <v>444.64278698331304</v>
      </c>
      <c r="S476" s="153">
        <f t="shared" si="383"/>
        <v>0.14393576568330085</v>
      </c>
      <c r="T476" s="154">
        <f t="shared" si="384"/>
        <v>1.4343949549307602</v>
      </c>
      <c r="U476" s="155">
        <f t="shared" si="385"/>
        <v>0.69265414002045211</v>
      </c>
      <c r="V476" s="154">
        <f t="shared" si="386"/>
        <v>5.9709929470392518E-2</v>
      </c>
      <c r="W476" s="154">
        <f t="shared" si="440"/>
        <v>0.53875305328779599</v>
      </c>
      <c r="X476" s="154">
        <f t="shared" si="441"/>
        <v>0.37608899666314571</v>
      </c>
      <c r="Y476" s="154">
        <f t="shared" si="387"/>
        <v>7.5583063010354241</v>
      </c>
      <c r="Z476" s="154">
        <f t="shared" si="388"/>
        <v>59.486234112987802</v>
      </c>
      <c r="AA476" s="154">
        <f t="shared" si="389"/>
        <v>1.1866976271021898</v>
      </c>
      <c r="AB476" s="1"/>
      <c r="AC476" s="242">
        <f t="shared" si="390"/>
        <v>0.11879315102129367</v>
      </c>
      <c r="AD476" s="263">
        <f t="shared" si="391"/>
        <v>2.2648642434555994</v>
      </c>
      <c r="AE476" s="282">
        <f t="shared" si="392"/>
        <v>214.93808737189809</v>
      </c>
      <c r="AF476" s="243">
        <f t="shared" si="393"/>
        <v>0.31666016625162346</v>
      </c>
      <c r="AG476" s="243">
        <f t="shared" si="394"/>
        <v>19.724050973372307</v>
      </c>
      <c r="AH476" s="264">
        <f t="shared" si="395"/>
        <v>1.6738927717207134E-5</v>
      </c>
      <c r="AI476" s="264">
        <f t="shared" si="396"/>
        <v>12066.02932761483</v>
      </c>
      <c r="AJ476" s="245">
        <f t="shared" si="397"/>
        <v>4.4281158048727808E-2</v>
      </c>
      <c r="AK476" s="264">
        <f t="shared" si="398"/>
        <v>52.335432128645557</v>
      </c>
      <c r="AL476" s="246">
        <f t="shared" si="399"/>
        <v>0.99604060251657001</v>
      </c>
      <c r="AM476" s="263">
        <f t="shared" si="400"/>
        <v>3.6363103613204092E-2</v>
      </c>
      <c r="AN476" s="263">
        <f t="shared" si="442"/>
        <v>0.45030077126596446</v>
      </c>
      <c r="AO476" s="263">
        <f t="shared" si="443"/>
        <v>0.31766436383078506</v>
      </c>
      <c r="AP476" s="235">
        <f t="shared" si="401"/>
        <v>13.435649069318506</v>
      </c>
      <c r="AQ476" s="235">
        <f t="shared" si="402"/>
        <v>108.06022720036231</v>
      </c>
      <c r="AR476" s="263">
        <f t="shared" si="403"/>
        <v>1.534862473408019</v>
      </c>
      <c r="AT476" s="242">
        <f t="shared" si="404"/>
        <v>0.11754784838619547</v>
      </c>
      <c r="AU476" s="263">
        <f t="shared" si="405"/>
        <v>2.6703188218132312</v>
      </c>
      <c r="AV476" s="282">
        <f t="shared" si="406"/>
        <v>171.06584709543392</v>
      </c>
      <c r="AW476" s="243">
        <f t="shared" si="407"/>
        <v>0.26857927301093254</v>
      </c>
      <c r="AX476" s="243">
        <f t="shared" si="408"/>
        <v>16.729200056850381</v>
      </c>
      <c r="AY476" s="264">
        <f t="shared" si="409"/>
        <v>1.4918601972107593E-5</v>
      </c>
      <c r="AZ476" s="264">
        <f t="shared" si="410"/>
        <v>13538.292202329789</v>
      </c>
      <c r="BA476" s="245">
        <f t="shared" si="411"/>
        <v>4.3816960893174661E-2</v>
      </c>
      <c r="BB476" s="264">
        <f t="shared" si="412"/>
        <v>43.92362295148726</v>
      </c>
      <c r="BC476" s="246">
        <f t="shared" si="413"/>
        <v>1.0391886121302392</v>
      </c>
      <c r="BD476" s="263">
        <f t="shared" si="414"/>
        <v>3.2873712688107445E-2</v>
      </c>
      <c r="BE476" s="263">
        <f t="shared" si="444"/>
        <v>1.0575842110339664</v>
      </c>
      <c r="BF476" s="263">
        <f t="shared" si="445"/>
        <v>1.0175574008694459</v>
      </c>
      <c r="BG476" s="235">
        <f t="shared" si="415"/>
        <v>47.997167823200762</v>
      </c>
      <c r="BH476" s="235">
        <f t="shared" si="416"/>
        <v>348.98812369786287</v>
      </c>
      <c r="BI476" s="263">
        <f t="shared" si="417"/>
        <v>4.956946589939518</v>
      </c>
      <c r="BJ476" s="247">
        <f t="shared" si="505"/>
        <v>413.99603778424904</v>
      </c>
      <c r="BK476" s="248">
        <f t="shared" si="446"/>
        <v>2.5241758895044804</v>
      </c>
      <c r="BL476" s="94">
        <f t="shared" si="447"/>
        <v>3.0837642173443394E-2</v>
      </c>
      <c r="BM476" s="249">
        <f t="shared" si="448"/>
        <v>3.7057417217309152</v>
      </c>
      <c r="BN476" s="247">
        <f t="shared" si="449"/>
        <v>414.99603778424904</v>
      </c>
      <c r="BO476" s="248">
        <f t="shared" si="450"/>
        <v>2.5097823957047893</v>
      </c>
      <c r="BP476" s="94">
        <f t="shared" si="451"/>
        <v>3.0716291599377232E-2</v>
      </c>
      <c r="BQ476" s="249">
        <f t="shared" si="452"/>
        <v>3.724358118182574</v>
      </c>
      <c r="BR476" s="247">
        <f t="shared" si="453"/>
        <v>379.2636172233436</v>
      </c>
      <c r="BS476" s="248">
        <f t="shared" si="454"/>
        <v>3.0240967694961363</v>
      </c>
      <c r="BT476" s="94">
        <f t="shared" si="455"/>
        <v>3.4734929507777679E-2</v>
      </c>
      <c r="BU476" s="249">
        <f t="shared" si="456"/>
        <v>3.0591492108433624</v>
      </c>
      <c r="BV476" s="283">
        <f t="shared" si="457"/>
        <v>3.058990454923638</v>
      </c>
      <c r="BW476" s="282">
        <f t="shared" si="458"/>
        <v>2891.9755412164996</v>
      </c>
      <c r="BX476" s="265">
        <f t="shared" si="418"/>
        <v>216.99076139264528</v>
      </c>
      <c r="BY476" s="265">
        <f t="shared" si="419"/>
        <v>213.97641124197003</v>
      </c>
      <c r="BZ476" s="284">
        <f t="shared" si="506"/>
        <v>282.72353084259225</v>
      </c>
      <c r="CA476" s="248">
        <f t="shared" si="459"/>
        <v>4.4136459042391216</v>
      </c>
      <c r="CB476" s="94">
        <f t="shared" si="460"/>
        <v>4.2729601004600604E-2</v>
      </c>
      <c r="CC476" s="249">
        <f t="shared" si="461"/>
        <v>6.7131910220588447</v>
      </c>
      <c r="CD476" s="247">
        <f t="shared" si="462"/>
        <v>283.72353084259225</v>
      </c>
      <c r="CE476" s="248">
        <f t="shared" si="463"/>
        <v>4.3992524104394306</v>
      </c>
      <c r="CF476" s="94">
        <f t="shared" si="464"/>
        <v>4.2665335276761765E-2</v>
      </c>
      <c r="CG476" s="249">
        <f t="shared" si="465"/>
        <v>6.7733139871497245</v>
      </c>
      <c r="CH476" s="247">
        <f t="shared" si="466"/>
        <v>252.46349343531233</v>
      </c>
      <c r="CI476" s="248">
        <f t="shared" si="467"/>
        <v>4.8491935650392257</v>
      </c>
      <c r="CJ476" s="94">
        <f t="shared" si="468"/>
        <v>4.4516306659713262E-2</v>
      </c>
      <c r="CK476" s="249">
        <f t="shared" si="469"/>
        <v>4.8938678493722509</v>
      </c>
      <c r="CL476" s="249">
        <f t="shared" si="470"/>
        <v>4.8937888605355955</v>
      </c>
      <c r="CM476" s="249">
        <f t="shared" si="471"/>
        <v>2789.7238024863032</v>
      </c>
      <c r="CN476" s="265">
        <f t="shared" si="420"/>
        <v>167.78157711309296</v>
      </c>
      <c r="CO476" s="265">
        <f t="shared" si="421"/>
        <v>172.15913921536634</v>
      </c>
      <c r="CP476" s="94">
        <f t="shared" si="472"/>
        <v>0.13414101358688338</v>
      </c>
      <c r="CQ476" s="157">
        <f t="shared" si="422"/>
        <v>17.115856707416075</v>
      </c>
      <c r="CR476" s="285">
        <f t="shared" si="423"/>
        <v>25.20285602529885</v>
      </c>
      <c r="CS476" s="157">
        <f t="shared" si="424"/>
        <v>56.486509821728916</v>
      </c>
      <c r="CT476" s="143">
        <f t="shared" si="425"/>
        <v>561.12201043081438</v>
      </c>
      <c r="CU476" s="247">
        <f t="shared" si="473"/>
        <v>379.2636172233436</v>
      </c>
      <c r="CV476" s="248">
        <f t="shared" si="474"/>
        <v>2.617577655053513</v>
      </c>
      <c r="CW476" s="94">
        <f t="shared" si="475"/>
        <v>2.8295788475837805E-2</v>
      </c>
      <c r="CX476" s="249">
        <f t="shared" si="476"/>
        <v>3.0770521549362004</v>
      </c>
      <c r="CY476" s="247">
        <f t="shared" si="477"/>
        <v>380.2636172233436</v>
      </c>
      <c r="CZ476" s="248">
        <f t="shared" si="478"/>
        <v>2.603184161253822</v>
      </c>
      <c r="DA476" s="94">
        <f t="shared" si="479"/>
        <v>2.8191916335003401E-2</v>
      </c>
      <c r="DB476" s="249">
        <f t="shared" si="480"/>
        <v>3.0956685513878588</v>
      </c>
      <c r="DC476" s="247">
        <f t="shared" si="481"/>
        <v>366.24248400688293</v>
      </c>
      <c r="DD476" s="248">
        <f t="shared" si="482"/>
        <v>2.8049972552695914</v>
      </c>
      <c r="DE476" s="94">
        <f t="shared" si="483"/>
        <v>2.9605342236034619E-2</v>
      </c>
      <c r="DF476" s="249">
        <f t="shared" si="484"/>
        <v>2.8346455767287084</v>
      </c>
      <c r="DG476" s="283">
        <f t="shared" si="485"/>
        <v>2.8346240871171675</v>
      </c>
      <c r="DH476" s="282">
        <f t="shared" si="486"/>
        <v>2885.4422875795667</v>
      </c>
      <c r="DI476" s="265">
        <f t="shared" si="426"/>
        <v>213.84474075776683</v>
      </c>
      <c r="DJ476" s="265">
        <f t="shared" si="427"/>
        <v>211.16564767371926</v>
      </c>
      <c r="DK476" s="284">
        <f t="shared" si="487"/>
        <v>252.46349343531233</v>
      </c>
      <c r="DL476" s="248">
        <f t="shared" si="488"/>
        <v>4.8491935650392257</v>
      </c>
      <c r="DM476" s="94">
        <f t="shared" si="489"/>
        <v>4.4516306659713262E-2</v>
      </c>
      <c r="DN476" s="249">
        <f t="shared" si="490"/>
        <v>4.8938678493722509</v>
      </c>
      <c r="DO476" s="247">
        <f t="shared" si="491"/>
        <v>253.46349343531233</v>
      </c>
      <c r="DP476" s="248">
        <f t="shared" si="492"/>
        <v>4.8348000712395338</v>
      </c>
      <c r="DQ476" s="94">
        <f t="shared" si="493"/>
        <v>4.4461969341144443E-2</v>
      </c>
      <c r="DR476" s="249">
        <f t="shared" si="494"/>
        <v>4.9539908144631308</v>
      </c>
      <c r="DS476" s="247">
        <f t="shared" si="495"/>
        <v>252.46137494280129</v>
      </c>
      <c r="DT476" s="248">
        <f t="shared" si="496"/>
        <v>4.8492240575480476</v>
      </c>
      <c r="DU476" s="94">
        <f t="shared" si="497"/>
        <v>4.4516421444137443E-2</v>
      </c>
      <c r="DV476" s="249">
        <f t="shared" si="498"/>
        <v>4.8937404793209645</v>
      </c>
      <c r="DW476" s="249">
        <f t="shared" si="499"/>
        <v>4.8937404791565751</v>
      </c>
      <c r="DX476" s="249">
        <f t="shared" si="500"/>
        <v>2789.7287886387048</v>
      </c>
      <c r="DY476" s="265">
        <f t="shared" si="428"/>
        <v>167.78397790146616</v>
      </c>
      <c r="DZ476" s="265">
        <f t="shared" si="429"/>
        <v>172.16122140718016</v>
      </c>
      <c r="EA476" s="94">
        <f t="shared" si="501"/>
        <v>0.11626595808221829</v>
      </c>
      <c r="EB476" s="157">
        <f t="shared" si="430"/>
        <v>15.987359645723352</v>
      </c>
      <c r="EC476" s="285">
        <f t="shared" si="502"/>
        <v>23.831990170243699</v>
      </c>
      <c r="ED476" s="157">
        <f t="shared" si="503"/>
        <v>53.414023611907481</v>
      </c>
      <c r="EE476" s="143">
        <f t="shared" si="431"/>
        <v>562.65825353572518</v>
      </c>
    </row>
    <row r="477" spans="1:135" ht="12" customHeight="1" x14ac:dyDescent="0.2">
      <c r="A477" s="200" t="s">
        <v>442</v>
      </c>
      <c r="B477" s="236">
        <f t="shared" si="432"/>
        <v>216.99076139264528</v>
      </c>
      <c r="C477" s="237">
        <f t="shared" si="433"/>
        <v>4.9779798587267248</v>
      </c>
      <c r="D477" s="236">
        <f t="shared" si="434"/>
        <v>2891.9755412164996</v>
      </c>
      <c r="E477" s="236">
        <f t="shared" si="504"/>
        <v>167.78157711309296</v>
      </c>
      <c r="F477" s="237">
        <f t="shared" si="435"/>
        <v>4.9894476984611922</v>
      </c>
      <c r="G477" s="238">
        <f t="shared" si="436"/>
        <v>2789.7287886387048</v>
      </c>
      <c r="H477" s="118">
        <v>0</v>
      </c>
      <c r="I477" s="239">
        <f t="shared" si="437"/>
        <v>535.95124172977137</v>
      </c>
      <c r="J477" s="154">
        <f t="shared" si="438"/>
        <v>6.0645161290322595E-2</v>
      </c>
      <c r="K477" s="149">
        <f t="shared" si="376"/>
        <v>0.22096748355086243</v>
      </c>
      <c r="L477" s="240">
        <f t="shared" si="377"/>
        <v>535.95124172977137</v>
      </c>
      <c r="M477" s="154">
        <f t="shared" si="378"/>
        <v>0.42090116209205525</v>
      </c>
      <c r="N477" s="241">
        <f t="shared" si="379"/>
        <v>535.95124172977137</v>
      </c>
      <c r="O477" s="150">
        <f t="shared" si="380"/>
        <v>0.95499679351972377</v>
      </c>
      <c r="P477" s="150">
        <f t="shared" si="381"/>
        <v>5.2846888072367211</v>
      </c>
      <c r="Q477" s="152">
        <f t="shared" si="382"/>
        <v>3.6444410366017499E-5</v>
      </c>
      <c r="R477" s="152">
        <f t="shared" si="439"/>
        <v>463.04498535166999</v>
      </c>
      <c r="S477" s="153">
        <f t="shared" si="383"/>
        <v>0.13821551258436315</v>
      </c>
      <c r="T477" s="154">
        <f t="shared" si="384"/>
        <v>1.2987254056419635</v>
      </c>
      <c r="U477" s="155">
        <f t="shared" si="385"/>
        <v>0.6896216391028126</v>
      </c>
      <c r="V477" s="154">
        <f t="shared" si="386"/>
        <v>5.7035542722167917E-2</v>
      </c>
      <c r="W477" s="154">
        <f t="shared" si="440"/>
        <v>0.50013406844364749</v>
      </c>
      <c r="X477" s="154">
        <f t="shared" si="441"/>
        <v>0.34565812906705357</v>
      </c>
      <c r="Y477" s="154">
        <f t="shared" si="387"/>
        <v>7.0309829198168448</v>
      </c>
      <c r="Z477" s="154">
        <f t="shared" si="388"/>
        <v>52.857552688787045</v>
      </c>
      <c r="AA477" s="154">
        <f t="shared" si="389"/>
        <v>1.0544613100078128</v>
      </c>
      <c r="AB477" s="1"/>
      <c r="AC477" s="242">
        <f t="shared" si="390"/>
        <v>0.11885069554637501</v>
      </c>
      <c r="AD477" s="263">
        <f t="shared" si="391"/>
        <v>2.254130457262522</v>
      </c>
      <c r="AE477" s="282">
        <f t="shared" si="392"/>
        <v>216.99076139264528</v>
      </c>
      <c r="AF477" s="243">
        <f t="shared" si="393"/>
        <v>0.31816804815324917</v>
      </c>
      <c r="AG477" s="243">
        <f t="shared" si="394"/>
        <v>19.817973552399366</v>
      </c>
      <c r="AH477" s="264">
        <f t="shared" si="395"/>
        <v>1.6824120576972852E-5</v>
      </c>
      <c r="AI477" s="264">
        <f t="shared" si="396"/>
        <v>12004.930172997294</v>
      </c>
      <c r="AJ477" s="245">
        <f t="shared" si="397"/>
        <v>4.4302608260192514E-2</v>
      </c>
      <c r="AK477" s="264">
        <f t="shared" si="398"/>
        <v>52.610117061891152</v>
      </c>
      <c r="AL477" s="246">
        <f t="shared" si="399"/>
        <v>0.9942838210761662</v>
      </c>
      <c r="AM477" s="263">
        <f t="shared" si="400"/>
        <v>3.6534783149512001E-2</v>
      </c>
      <c r="AN477" s="263">
        <f t="shared" si="442"/>
        <v>1.1606010232460837</v>
      </c>
      <c r="AO477" s="263">
        <f t="shared" si="443"/>
        <v>4.0018020311665605</v>
      </c>
      <c r="AP477" s="235">
        <f t="shared" si="401"/>
        <v>168.45166037831635</v>
      </c>
      <c r="AQ477" s="235">
        <f t="shared" si="402"/>
        <v>1361.2193406832325</v>
      </c>
      <c r="AR477" s="263">
        <f t="shared" si="403"/>
        <v>19.334444672395563</v>
      </c>
      <c r="AT477" s="242">
        <f t="shared" si="404"/>
        <v>0.11745339514384227</v>
      </c>
      <c r="AU477" s="263">
        <f t="shared" si="405"/>
        <v>2.6705403061038147</v>
      </c>
      <c r="AV477" s="282">
        <f t="shared" si="406"/>
        <v>167.78157711309296</v>
      </c>
      <c r="AW477" s="243">
        <f t="shared" si="407"/>
        <v>0.26855699808416506</v>
      </c>
      <c r="AX477" s="243">
        <f t="shared" si="408"/>
        <v>16.727812601660826</v>
      </c>
      <c r="AY477" s="264">
        <f t="shared" si="409"/>
        <v>1.4782372560905783E-5</v>
      </c>
      <c r="AZ477" s="264">
        <f t="shared" si="410"/>
        <v>13663.056584217917</v>
      </c>
      <c r="BA477" s="245">
        <f t="shared" si="411"/>
        <v>4.3781752643230115E-2</v>
      </c>
      <c r="BB477" s="264">
        <f t="shared" si="412"/>
        <v>43.884689066995215</v>
      </c>
      <c r="BC477" s="246">
        <f t="shared" si="413"/>
        <v>1.0428440270291059</v>
      </c>
      <c r="BD477" s="263">
        <f t="shared" si="414"/>
        <v>3.2626174998046646E-2</v>
      </c>
      <c r="BE477" s="263">
        <f t="shared" si="444"/>
        <v>1.059490249613229</v>
      </c>
      <c r="BF477" s="263">
        <f t="shared" si="445"/>
        <v>1.0181528200317227</v>
      </c>
      <c r="BG477" s="235">
        <f t="shared" si="415"/>
        <v>48.44699464574591</v>
      </c>
      <c r="BH477" s="235">
        <f t="shared" si="416"/>
        <v>349.60632695778446</v>
      </c>
      <c r="BI477" s="263">
        <f t="shared" si="417"/>
        <v>4.9657274060563754</v>
      </c>
      <c r="BJ477" s="247">
        <f t="shared" si="505"/>
        <v>379.2636172233436</v>
      </c>
      <c r="BK477" s="248">
        <f t="shared" si="446"/>
        <v>2.0039712971756973</v>
      </c>
      <c r="BL477" s="94">
        <f t="shared" si="447"/>
        <v>2.3082518873318431E-2</v>
      </c>
      <c r="BM477" s="249">
        <f t="shared" si="448"/>
        <v>38.054299609249597</v>
      </c>
      <c r="BN477" s="247">
        <f t="shared" si="449"/>
        <v>380.2636172233436</v>
      </c>
      <c r="BO477" s="248">
        <f t="shared" si="450"/>
        <v>1.9911817019317315</v>
      </c>
      <c r="BP477" s="94">
        <f t="shared" si="451"/>
        <v>2.2978646732484027E-2</v>
      </c>
      <c r="BQ477" s="249">
        <f t="shared" si="452"/>
        <v>38.288807712372844</v>
      </c>
      <c r="BR477" s="247">
        <f t="shared" si="453"/>
        <v>233.64107441079565</v>
      </c>
      <c r="BS477" s="248">
        <f t="shared" si="454"/>
        <v>3.8664246781452563</v>
      </c>
      <c r="BT477" s="94">
        <f t="shared" si="455"/>
        <v>3.383024051312019E-2</v>
      </c>
      <c r="BU477" s="249">
        <f t="shared" si="456"/>
        <v>3.90463332229479</v>
      </c>
      <c r="BV477" s="283">
        <f t="shared" si="457"/>
        <v>3.9024441204765834</v>
      </c>
      <c r="BW477" s="282">
        <f t="shared" si="458"/>
        <v>2897.4168213117814</v>
      </c>
      <c r="BX477" s="265">
        <f t="shared" si="418"/>
        <v>219.60976460014339</v>
      </c>
      <c r="BY477" s="265">
        <f t="shared" si="419"/>
        <v>216.79308792105672</v>
      </c>
      <c r="BZ477" s="284">
        <f t="shared" si="506"/>
        <v>252.46349343531233</v>
      </c>
      <c r="CA477" s="248">
        <f t="shared" si="459"/>
        <v>3.6256935573093685</v>
      </c>
      <c r="CB477" s="94">
        <f t="shared" si="460"/>
        <v>3.2863896025254018E-2</v>
      </c>
      <c r="CC477" s="249">
        <f t="shared" si="461"/>
        <v>5.1003467602309733</v>
      </c>
      <c r="CD477" s="247">
        <f t="shared" si="462"/>
        <v>253.46349343531233</v>
      </c>
      <c r="CE477" s="248">
        <f t="shared" si="463"/>
        <v>3.6129039620654027</v>
      </c>
      <c r="CF477" s="94">
        <f t="shared" si="464"/>
        <v>3.2809558706685199E-2</v>
      </c>
      <c r="CG477" s="249">
        <f t="shared" si="465"/>
        <v>5.1605762281237864</v>
      </c>
      <c r="CH477" s="247">
        <f t="shared" si="466"/>
        <v>232.73279392068696</v>
      </c>
      <c r="CI477" s="248">
        <f t="shared" si="467"/>
        <v>3.8780412179817381</v>
      </c>
      <c r="CJ477" s="94">
        <f t="shared" si="468"/>
        <v>3.3874233569423144E-2</v>
      </c>
      <c r="CK477" s="249">
        <f t="shared" si="469"/>
        <v>3.9119772273121072</v>
      </c>
      <c r="CL477" s="249">
        <f t="shared" si="470"/>
        <v>3.9119463394316343</v>
      </c>
      <c r="CM477" s="249">
        <f t="shared" si="471"/>
        <v>2784.2692731981401</v>
      </c>
      <c r="CN477" s="265">
        <f t="shared" si="420"/>
        <v>165.15649626514113</v>
      </c>
      <c r="CO477" s="265">
        <f t="shared" si="421"/>
        <v>168.65781774025373</v>
      </c>
      <c r="CP477" s="94">
        <f t="shared" si="472"/>
        <v>0.10179392166562451</v>
      </c>
      <c r="CQ477" s="157">
        <f t="shared" si="422"/>
        <v>13.31219225839132</v>
      </c>
      <c r="CR477" s="285">
        <f t="shared" si="423"/>
        <v>21.228407527845636</v>
      </c>
      <c r="CS477" s="157">
        <f t="shared" si="424"/>
        <v>47.57868112715601</v>
      </c>
      <c r="CT477" s="143">
        <f t="shared" si="425"/>
        <v>512.16190116619339</v>
      </c>
      <c r="CU477" s="247">
        <f t="shared" si="473"/>
        <v>233.64107441079565</v>
      </c>
      <c r="CV477" s="248">
        <f t="shared" si="474"/>
        <v>3.5621686412162386</v>
      </c>
      <c r="CW477" s="94">
        <f t="shared" si="475"/>
        <v>2.9330602690870025E-2</v>
      </c>
      <c r="CX477" s="249">
        <f t="shared" si="476"/>
        <v>3.9509893531548106</v>
      </c>
      <c r="CY477" s="247">
        <f t="shared" si="477"/>
        <v>234.64107441079565</v>
      </c>
      <c r="CZ477" s="248">
        <f t="shared" si="478"/>
        <v>3.5493790459722727</v>
      </c>
      <c r="DA477" s="94">
        <f t="shared" si="479"/>
        <v>2.9281892729171019E-2</v>
      </c>
      <c r="DB477" s="249">
        <f t="shared" si="480"/>
        <v>4.1854974562780596</v>
      </c>
      <c r="DC477" s="247">
        <f t="shared" si="481"/>
        <v>232.18768718889729</v>
      </c>
      <c r="DD477" s="248">
        <f t="shared" si="482"/>
        <v>3.5807568755170713</v>
      </c>
      <c r="DE477" s="94">
        <f t="shared" si="483"/>
        <v>2.9400884723635421E-2</v>
      </c>
      <c r="DF477" s="249">
        <f t="shared" si="484"/>
        <v>3.6101582726438552</v>
      </c>
      <c r="DG477" s="283">
        <f t="shared" si="485"/>
        <v>3.6101580164422811</v>
      </c>
      <c r="DH477" s="282">
        <f t="shared" si="486"/>
        <v>2890.4760255010438</v>
      </c>
      <c r="DI477" s="265">
        <f t="shared" si="426"/>
        <v>216.26747948975643</v>
      </c>
      <c r="DJ477" s="265">
        <f t="shared" si="427"/>
        <v>213.71656358173783</v>
      </c>
      <c r="DK477" s="284">
        <f t="shared" si="487"/>
        <v>232.73279392068696</v>
      </c>
      <c r="DL477" s="248">
        <f t="shared" si="488"/>
        <v>3.8780412179817381</v>
      </c>
      <c r="DM477" s="94">
        <f t="shared" si="489"/>
        <v>3.3874233569423144E-2</v>
      </c>
      <c r="DN477" s="249">
        <f t="shared" si="490"/>
        <v>3.9119772273121072</v>
      </c>
      <c r="DO477" s="247">
        <f t="shared" si="491"/>
        <v>233.73279392068696</v>
      </c>
      <c r="DP477" s="248">
        <f t="shared" si="492"/>
        <v>3.8652516227377722</v>
      </c>
      <c r="DQ477" s="94">
        <f t="shared" si="493"/>
        <v>3.3825784855086957E-2</v>
      </c>
      <c r="DR477" s="249">
        <f t="shared" si="494"/>
        <v>3.9722066952049202</v>
      </c>
      <c r="DS477" s="247">
        <f t="shared" si="495"/>
        <v>232.73194845928583</v>
      </c>
      <c r="DT477" s="248">
        <f t="shared" si="496"/>
        <v>3.8780520310908528</v>
      </c>
      <c r="DU477" s="94">
        <f t="shared" si="497"/>
        <v>3.3874274409547045E-2</v>
      </c>
      <c r="DV477" s="249">
        <f t="shared" si="498"/>
        <v>3.9119263056217934</v>
      </c>
      <c r="DW477" s="249">
        <f t="shared" si="499"/>
        <v>3.9119263055610967</v>
      </c>
      <c r="DX477" s="249">
        <f t="shared" si="500"/>
        <v>2784.2742872842923</v>
      </c>
      <c r="DY477" s="265">
        <f t="shared" si="428"/>
        <v>165.15891049320808</v>
      </c>
      <c r="DZ477" s="265">
        <f t="shared" si="429"/>
        <v>168.66006595019411</v>
      </c>
      <c r="EA477" s="94">
        <f t="shared" si="501"/>
        <v>8.9302927071058039E-2</v>
      </c>
      <c r="EB477" s="157">
        <f t="shared" si="430"/>
        <v>12.467577499876363</v>
      </c>
      <c r="EC477" s="285">
        <f t="shared" si="502"/>
        <v>20.078964749011494</v>
      </c>
      <c r="ED477" s="157">
        <f t="shared" si="503"/>
        <v>45.00246473521397</v>
      </c>
      <c r="EE477" s="143">
        <f t="shared" si="431"/>
        <v>513.45000936216434</v>
      </c>
    </row>
    <row r="478" spans="1:135" ht="12" customHeight="1" x14ac:dyDescent="0.2">
      <c r="A478" s="200" t="s">
        <v>442</v>
      </c>
      <c r="B478" s="236">
        <f t="shared" si="432"/>
        <v>219.60976460014339</v>
      </c>
      <c r="C478" s="237">
        <f t="shared" si="433"/>
        <v>4.9774537575561055</v>
      </c>
      <c r="D478" s="236">
        <f t="shared" si="434"/>
        <v>2897.4168213117814</v>
      </c>
      <c r="E478" s="236">
        <f t="shared" si="504"/>
        <v>165.15649626514113</v>
      </c>
      <c r="F478" s="237">
        <f t="shared" si="435"/>
        <v>4.9898865453518617</v>
      </c>
      <c r="G478" s="238">
        <f t="shared" si="436"/>
        <v>2784.2742872842923</v>
      </c>
      <c r="H478" s="118">
        <v>0</v>
      </c>
      <c r="I478" s="239">
        <f t="shared" si="437"/>
        <v>490.94877699455742</v>
      </c>
      <c r="J478" s="154">
        <f t="shared" si="438"/>
        <v>7.2774193548387114E-2</v>
      </c>
      <c r="K478" s="149">
        <f t="shared" si="376"/>
        <v>0.21302587102242554</v>
      </c>
      <c r="L478" s="240">
        <f t="shared" si="377"/>
        <v>490.94877699455742</v>
      </c>
      <c r="M478" s="154">
        <f t="shared" si="378"/>
        <v>0.44438283685433266</v>
      </c>
      <c r="N478" s="241">
        <f t="shared" si="379"/>
        <v>490.94877699455742</v>
      </c>
      <c r="O478" s="150">
        <f t="shared" si="380"/>
        <v>0.90453371924082493</v>
      </c>
      <c r="P478" s="150">
        <f t="shared" si="381"/>
        <v>5.0054400750628947</v>
      </c>
      <c r="Q478" s="152">
        <f t="shared" si="382"/>
        <v>3.5134591467312247E-5</v>
      </c>
      <c r="R478" s="152">
        <f t="shared" si="439"/>
        <v>480.30731991812075</v>
      </c>
      <c r="S478" s="153">
        <f t="shared" si="383"/>
        <v>0.13324802131041902</v>
      </c>
      <c r="T478" s="154">
        <f t="shared" si="384"/>
        <v>1.1858893365235381</v>
      </c>
      <c r="U478" s="155">
        <f t="shared" si="385"/>
        <v>0.68730854539894359</v>
      </c>
      <c r="V478" s="154">
        <f t="shared" si="386"/>
        <v>5.4782314315340488E-2</v>
      </c>
      <c r="W478" s="154">
        <f t="shared" si="440"/>
        <v>0.47064420627918319</v>
      </c>
      <c r="X478" s="154">
        <f t="shared" si="441"/>
        <v>0.32319489545686159</v>
      </c>
      <c r="Y478" s="154">
        <f t="shared" si="387"/>
        <v>6.6473111395009354</v>
      </c>
      <c r="Z478" s="154">
        <f t="shared" si="388"/>
        <v>47.998958344394268</v>
      </c>
      <c r="AA478" s="154">
        <f t="shared" si="389"/>
        <v>0.95753666070841803</v>
      </c>
      <c r="AB478" s="1"/>
      <c r="AC478" s="242">
        <f t="shared" si="390"/>
        <v>0.11892402648726931</v>
      </c>
      <c r="AD478" s="263">
        <f t="shared" si="391"/>
        <v>2.2406623669994477</v>
      </c>
      <c r="AE478" s="282">
        <f t="shared" si="392"/>
        <v>219.60976460014339</v>
      </c>
      <c r="AF478" s="243">
        <f t="shared" si="393"/>
        <v>0.32008048085817853</v>
      </c>
      <c r="AG478" s="243">
        <f t="shared" si="394"/>
        <v>19.937094692900494</v>
      </c>
      <c r="AH478" s="264">
        <f t="shared" si="395"/>
        <v>1.6932821152690475E-5</v>
      </c>
      <c r="AI478" s="264">
        <f t="shared" si="396"/>
        <v>11927.86428955782</v>
      </c>
      <c r="AJ478" s="245">
        <f t="shared" si="397"/>
        <v>4.4329942992503979E-2</v>
      </c>
      <c r="AK478" s="264">
        <f t="shared" si="398"/>
        <v>52.958999584283212</v>
      </c>
      <c r="AL478" s="246">
        <f t="shared" si="399"/>
        <v>0.9920777652940207</v>
      </c>
      <c r="AM478" s="263">
        <f t="shared" si="400"/>
        <v>3.6754976033844367E-2</v>
      </c>
      <c r="AN478" s="263">
        <f t="shared" si="442"/>
        <v>1.1416264840524915</v>
      </c>
      <c r="AO478" s="263">
        <f t="shared" si="443"/>
        <v>1.0467537880845297</v>
      </c>
      <c r="AP478" s="235">
        <f t="shared" si="401"/>
        <v>43.796642182916578</v>
      </c>
      <c r="AQ478" s="235">
        <f t="shared" si="402"/>
        <v>356.04364633193757</v>
      </c>
      <c r="AR478" s="263">
        <f t="shared" si="403"/>
        <v>5.0571616015297014</v>
      </c>
      <c r="AT478" s="242">
        <f t="shared" si="404"/>
        <v>0.11737777143907935</v>
      </c>
      <c r="AU478" s="263">
        <f t="shared" si="405"/>
        <v>2.6707615929433715</v>
      </c>
      <c r="AV478" s="282">
        <f t="shared" si="406"/>
        <v>165.15649626514113</v>
      </c>
      <c r="AW478" s="243">
        <f t="shared" si="407"/>
        <v>0.26853474670481919</v>
      </c>
      <c r="AX478" s="243">
        <f t="shared" si="408"/>
        <v>16.726426613187314</v>
      </c>
      <c r="AY478" s="264">
        <f t="shared" si="409"/>
        <v>1.4673489891250465E-5</v>
      </c>
      <c r="AZ478" s="264">
        <f t="shared" si="410"/>
        <v>13764.44146862966</v>
      </c>
      <c r="BA478" s="245">
        <f t="shared" si="411"/>
        <v>4.3753563263673738E-2</v>
      </c>
      <c r="BB478" s="264">
        <f t="shared" si="412"/>
        <v>43.852799671282938</v>
      </c>
      <c r="BC478" s="246">
        <f t="shared" si="413"/>
        <v>1.0458105212677551</v>
      </c>
      <c r="BD478" s="263">
        <f t="shared" si="414"/>
        <v>3.2429752793985508E-2</v>
      </c>
      <c r="BE478" s="263">
        <f t="shared" si="444"/>
        <v>1.0615571210923045</v>
      </c>
      <c r="BF478" s="263">
        <f t="shared" si="445"/>
        <v>1.0187997887723783</v>
      </c>
      <c r="BG478" s="235">
        <f t="shared" si="415"/>
        <v>48.820785154301831</v>
      </c>
      <c r="BH478" s="235">
        <f t="shared" si="416"/>
        <v>350.18269348011285</v>
      </c>
      <c r="BI478" s="263">
        <f t="shared" si="417"/>
        <v>4.9739139828290693</v>
      </c>
      <c r="BJ478" s="247">
        <f t="shared" si="505"/>
        <v>233.64107441079565</v>
      </c>
      <c r="BK478" s="248">
        <f t="shared" si="446"/>
        <v>2.9883698684930771</v>
      </c>
      <c r="BL478" s="94">
        <f t="shared" si="447"/>
        <v>2.5648682018466009E-2</v>
      </c>
      <c r="BM478" s="249">
        <f t="shared" si="448"/>
        <v>0.86065916286428068</v>
      </c>
      <c r="BN478" s="247">
        <f t="shared" si="449"/>
        <v>234.64107441079565</v>
      </c>
      <c r="BO478" s="248">
        <f t="shared" si="450"/>
        <v>2.9767558754470649</v>
      </c>
      <c r="BP478" s="94">
        <f t="shared" si="451"/>
        <v>2.5599972056766999E-2</v>
      </c>
      <c r="BQ478" s="249">
        <f t="shared" si="452"/>
        <v>0.92199763906347965</v>
      </c>
      <c r="BR478" s="247">
        <f t="shared" si="453"/>
        <v>263.13867172417474</v>
      </c>
      <c r="BS478" s="248">
        <f t="shared" si="454"/>
        <v>2.6457849784214367</v>
      </c>
      <c r="BT478" s="94">
        <f t="shared" si="455"/>
        <v>2.4086064102457394E-2</v>
      </c>
      <c r="BU478" s="249">
        <f t="shared" si="456"/>
        <v>2.6699968336045394</v>
      </c>
      <c r="BV478" s="283">
        <f t="shared" si="457"/>
        <v>2.6699339380642169</v>
      </c>
      <c r="BW478" s="282">
        <f t="shared" si="458"/>
        <v>2901.1395801635167</v>
      </c>
      <c r="BX478" s="265">
        <f t="shared" si="418"/>
        <v>221.40124347489461</v>
      </c>
      <c r="BY478" s="265">
        <f t="shared" si="419"/>
        <v>219.09716569797567</v>
      </c>
      <c r="BZ478" s="284">
        <f t="shared" si="506"/>
        <v>232.73279392068696</v>
      </c>
      <c r="CA478" s="248">
        <f t="shared" si="459"/>
        <v>2.9989186317890275</v>
      </c>
      <c r="CB478" s="94">
        <f t="shared" si="460"/>
        <v>2.569267507476896E-2</v>
      </c>
      <c r="CC478" s="249">
        <f t="shared" si="461"/>
        <v>4.0767944555836699</v>
      </c>
      <c r="CD478" s="247">
        <f t="shared" si="462"/>
        <v>233.73279392068696</v>
      </c>
      <c r="CE478" s="248">
        <f t="shared" si="463"/>
        <v>2.9873046387430158</v>
      </c>
      <c r="CF478" s="94">
        <f t="shared" si="464"/>
        <v>2.5644226360432773E-2</v>
      </c>
      <c r="CG478" s="249">
        <f t="shared" si="465"/>
        <v>4.1371232187302418</v>
      </c>
      <c r="CH478" s="247">
        <f t="shared" si="466"/>
        <v>218.11735374184448</v>
      </c>
      <c r="CI478" s="248">
        <f t="shared" si="467"/>
        <v>3.1686622523905057</v>
      </c>
      <c r="CJ478" s="94">
        <f t="shared" si="468"/>
        <v>2.6368658269608405E-2</v>
      </c>
      <c r="CK478" s="249">
        <f t="shared" si="469"/>
        <v>3.1950630267513906</v>
      </c>
      <c r="CL478" s="249">
        <f t="shared" si="470"/>
        <v>3.1950469687057526</v>
      </c>
      <c r="CM478" s="249">
        <f t="shared" si="471"/>
        <v>2779.8143354879276</v>
      </c>
      <c r="CN478" s="265">
        <f t="shared" si="420"/>
        <v>163.01272688861818</v>
      </c>
      <c r="CO478" s="265">
        <f t="shared" si="421"/>
        <v>165.83527231443594</v>
      </c>
      <c r="CP478" s="94">
        <f t="shared" si="472"/>
        <v>7.9081915284464496E-2</v>
      </c>
      <c r="CQ478" s="157">
        <f t="shared" si="422"/>
        <v>10.637654178259639</v>
      </c>
      <c r="CR478" s="285">
        <f t="shared" si="423"/>
        <v>16.58173305835971</v>
      </c>
      <c r="CS478" s="157">
        <f t="shared" si="424"/>
        <v>37.16420973567881</v>
      </c>
      <c r="CT478" s="143">
        <f t="shared" si="425"/>
        <v>472.36667212671802</v>
      </c>
      <c r="CU478" s="247">
        <f t="shared" si="473"/>
        <v>263.13867172417474</v>
      </c>
      <c r="CV478" s="248">
        <f t="shared" si="474"/>
        <v>2.4299725417060878</v>
      </c>
      <c r="CW478" s="94">
        <f t="shared" si="475"/>
        <v>2.1103142754206359E-2</v>
      </c>
      <c r="CX478" s="249">
        <f t="shared" si="476"/>
        <v>2.7014388691648898</v>
      </c>
      <c r="CY478" s="247">
        <f t="shared" si="477"/>
        <v>264.13867172417474</v>
      </c>
      <c r="CZ478" s="248">
        <f t="shared" si="478"/>
        <v>2.4183585486600765</v>
      </c>
      <c r="DA478" s="94">
        <f t="shared" si="479"/>
        <v>2.1045429271605048E-2</v>
      </c>
      <c r="DB478" s="249">
        <f t="shared" si="480"/>
        <v>2.7627773453640891</v>
      </c>
      <c r="DC478" s="247">
        <f t="shared" si="481"/>
        <v>259.70951738774511</v>
      </c>
      <c r="DD478" s="248">
        <f t="shared" si="482"/>
        <v>2.469798716323083</v>
      </c>
      <c r="DE478" s="94">
        <f t="shared" si="483"/>
        <v>2.1298612973050853E-2</v>
      </c>
      <c r="DF478" s="249">
        <f t="shared" si="484"/>
        <v>2.4910997675164208</v>
      </c>
      <c r="DG478" s="283">
        <f t="shared" si="485"/>
        <v>2.4910985484062773</v>
      </c>
      <c r="DH478" s="282">
        <f t="shared" si="486"/>
        <v>2893.9494294828469</v>
      </c>
      <c r="DI478" s="265">
        <f t="shared" si="426"/>
        <v>217.93886605140696</v>
      </c>
      <c r="DJ478" s="265">
        <f t="shared" si="427"/>
        <v>215.82771481657238</v>
      </c>
      <c r="DK478" s="284">
        <f t="shared" si="487"/>
        <v>218.11735374184448</v>
      </c>
      <c r="DL478" s="248">
        <f t="shared" si="488"/>
        <v>3.1686622523905057</v>
      </c>
      <c r="DM478" s="94">
        <f t="shared" si="489"/>
        <v>2.6368658269608405E-2</v>
      </c>
      <c r="DN478" s="249">
        <f t="shared" si="490"/>
        <v>3.1950630267513906</v>
      </c>
      <c r="DO478" s="247">
        <f t="shared" si="491"/>
        <v>219.11735374184448</v>
      </c>
      <c r="DP478" s="248">
        <f t="shared" si="492"/>
        <v>3.1570482593444944</v>
      </c>
      <c r="DQ478" s="94">
        <f t="shared" si="493"/>
        <v>2.6324285854181975E-2</v>
      </c>
      <c r="DR478" s="249">
        <f t="shared" si="494"/>
        <v>3.2553917898979625</v>
      </c>
      <c r="DS478" s="247">
        <f t="shared" si="495"/>
        <v>218.11690760526565</v>
      </c>
      <c r="DT478" s="248">
        <f t="shared" si="496"/>
        <v>3.1686674338176299</v>
      </c>
      <c r="DU478" s="94">
        <f t="shared" si="497"/>
        <v>2.6368678005379006E-2</v>
      </c>
      <c r="DV478" s="249">
        <f t="shared" si="498"/>
        <v>3.1950361118833954</v>
      </c>
      <c r="DW478" s="249">
        <f t="shared" si="499"/>
        <v>3.1950361118532022</v>
      </c>
      <c r="DX478" s="249">
        <f t="shared" si="500"/>
        <v>2779.8193647120738</v>
      </c>
      <c r="DY478" s="265">
        <f t="shared" si="428"/>
        <v>163.01514839528286</v>
      </c>
      <c r="DZ478" s="265">
        <f t="shared" si="429"/>
        <v>165.8376071727385</v>
      </c>
      <c r="EA478" s="94">
        <f t="shared" si="501"/>
        <v>7.0801325621719619E-2</v>
      </c>
      <c r="EB478" s="157">
        <f t="shared" si="430"/>
        <v>10.038558853937833</v>
      </c>
      <c r="EC478" s="285">
        <f t="shared" si="502"/>
        <v>15.795494839849225</v>
      </c>
      <c r="ED478" s="157">
        <f t="shared" si="503"/>
        <v>35.402034337480679</v>
      </c>
      <c r="EE478" s="143">
        <f t="shared" si="431"/>
        <v>473.24775982581707</v>
      </c>
    </row>
    <row r="479" spans="1:135" ht="12" customHeight="1" x14ac:dyDescent="0.2">
      <c r="A479" s="200" t="s">
        <v>442</v>
      </c>
      <c r="B479" s="236">
        <f t="shared" si="432"/>
        <v>221.40124347489461</v>
      </c>
      <c r="C479" s="237">
        <f t="shared" si="433"/>
        <v>4.9769241675602629</v>
      </c>
      <c r="D479" s="236">
        <f t="shared" si="434"/>
        <v>2901.1395801635167</v>
      </c>
      <c r="E479" s="236">
        <f t="shared" si="504"/>
        <v>163.01272688861818</v>
      </c>
      <c r="F479" s="237">
        <f t="shared" si="435"/>
        <v>4.9903250733485747</v>
      </c>
      <c r="G479" s="238">
        <f t="shared" si="436"/>
        <v>2779.8193647120738</v>
      </c>
      <c r="H479" s="118">
        <v>0</v>
      </c>
      <c r="I479" s="239">
        <f t="shared" si="437"/>
        <v>455.54674265707672</v>
      </c>
      <c r="J479" s="154">
        <f t="shared" si="438"/>
        <v>8.4903225806451627E-2</v>
      </c>
      <c r="K479" s="149">
        <f t="shared" si="376"/>
        <v>0.20662632796848718</v>
      </c>
      <c r="L479" s="240">
        <f t="shared" si="377"/>
        <v>455.54674265707672</v>
      </c>
      <c r="M479" s="154">
        <f t="shared" si="378"/>
        <v>0.46545401483139076</v>
      </c>
      <c r="N479" s="241">
        <f t="shared" si="379"/>
        <v>455.54674265707672</v>
      </c>
      <c r="O479" s="150">
        <f t="shared" si="380"/>
        <v>0.86358533255373626</v>
      </c>
      <c r="P479" s="150">
        <f t="shared" si="381"/>
        <v>4.7788429992736665</v>
      </c>
      <c r="Q479" s="152">
        <f t="shared" si="382"/>
        <v>3.4079107784985578E-5</v>
      </c>
      <c r="R479" s="152">
        <f t="shared" si="439"/>
        <v>495.18319465856757</v>
      </c>
      <c r="S479" s="153">
        <f t="shared" si="383"/>
        <v>0.12924509694665318</v>
      </c>
      <c r="T479" s="154">
        <f t="shared" si="384"/>
        <v>1.0981912227746273</v>
      </c>
      <c r="U479" s="155">
        <f t="shared" si="385"/>
        <v>0.68569022175224625</v>
      </c>
      <c r="V479" s="154">
        <f t="shared" si="386"/>
        <v>5.3009769858097175E-2</v>
      </c>
      <c r="W479" s="154">
        <f t="shared" si="440"/>
        <v>0.44707166194640319</v>
      </c>
      <c r="X479" s="154">
        <f t="shared" si="441"/>
        <v>0.30563639594972325</v>
      </c>
      <c r="Y479" s="154">
        <f t="shared" si="387"/>
        <v>6.345426894230151</v>
      </c>
      <c r="Z479" s="154">
        <f t="shared" si="388"/>
        <v>44.33658039979732</v>
      </c>
      <c r="AA479" s="154">
        <f t="shared" si="389"/>
        <v>0.88447546796003262</v>
      </c>
      <c r="AB479" s="1"/>
      <c r="AC479" s="242">
        <f t="shared" si="390"/>
        <v>0.11897412925681784</v>
      </c>
      <c r="AD479" s="263">
        <f t="shared" si="391"/>
        <v>2.2314737913769127</v>
      </c>
      <c r="AE479" s="282">
        <f t="shared" si="392"/>
        <v>221.40124347489461</v>
      </c>
      <c r="AF479" s="243">
        <f t="shared" si="393"/>
        <v>0.3213984814168353</v>
      </c>
      <c r="AG479" s="243">
        <f t="shared" si="394"/>
        <v>20.019189989285906</v>
      </c>
      <c r="AH479" s="264">
        <f t="shared" si="395"/>
        <v>1.7007177732133778E-5</v>
      </c>
      <c r="AI479" s="264">
        <f t="shared" si="396"/>
        <v>11875.71482639559</v>
      </c>
      <c r="AJ479" s="245">
        <f t="shared" si="397"/>
        <v>4.4348619226259767E-2</v>
      </c>
      <c r="AK479" s="264">
        <f t="shared" si="398"/>
        <v>53.199473245039904</v>
      </c>
      <c r="AL479" s="246">
        <f t="shared" si="399"/>
        <v>0.99058898475692447</v>
      </c>
      <c r="AM479" s="263">
        <f t="shared" si="400"/>
        <v>3.6906237026795269E-2</v>
      </c>
      <c r="AN479" s="263">
        <f t="shared" si="442"/>
        <v>1.1273124783312958</v>
      </c>
      <c r="AO479" s="263">
        <f t="shared" si="443"/>
        <v>1.0414284440041217</v>
      </c>
      <c r="AP479" s="235">
        <f t="shared" si="401"/>
        <v>43.39527822340532</v>
      </c>
      <c r="AQ479" s="235">
        <f t="shared" si="402"/>
        <v>354.23259841562509</v>
      </c>
      <c r="AR479" s="263">
        <f t="shared" si="403"/>
        <v>5.031437895811985</v>
      </c>
      <c r="AT479" s="242">
        <f t="shared" si="404"/>
        <v>0.11731592831595862</v>
      </c>
      <c r="AU479" s="263">
        <f t="shared" si="405"/>
        <v>2.6709827178562944</v>
      </c>
      <c r="AV479" s="282">
        <f t="shared" si="406"/>
        <v>163.01272688861818</v>
      </c>
      <c r="AW479" s="243">
        <f t="shared" si="407"/>
        <v>0.26851251529085868</v>
      </c>
      <c r="AX479" s="243">
        <f t="shared" si="408"/>
        <v>16.725041868312839</v>
      </c>
      <c r="AY479" s="264">
        <f t="shared" si="409"/>
        <v>1.4584573614950286E-5</v>
      </c>
      <c r="AZ479" s="264">
        <f t="shared" si="410"/>
        <v>13848.357729266016</v>
      </c>
      <c r="BA479" s="245">
        <f t="shared" si="411"/>
        <v>4.3730510713206064E-2</v>
      </c>
      <c r="BB479" s="264">
        <f t="shared" si="412"/>
        <v>43.826066269737012</v>
      </c>
      <c r="BC479" s="246">
        <f t="shared" si="413"/>
        <v>1.0482631566640275</v>
      </c>
      <c r="BD479" s="263">
        <f t="shared" si="414"/>
        <v>3.227030250793303E-2</v>
      </c>
      <c r="BE479" s="263">
        <f t="shared" si="444"/>
        <v>1.0638075070038795</v>
      </c>
      <c r="BF479" s="263">
        <f t="shared" si="445"/>
        <v>1.0195057780841512</v>
      </c>
      <c r="BG479" s="235">
        <f t="shared" si="415"/>
        <v>49.1387693005356</v>
      </c>
      <c r="BH479" s="235">
        <f t="shared" si="416"/>
        <v>350.73054724316921</v>
      </c>
      <c r="BI479" s="263">
        <f t="shared" si="417"/>
        <v>4.9816955709639101</v>
      </c>
      <c r="BJ479" s="247">
        <f t="shared" si="505"/>
        <v>263.13867172417474</v>
      </c>
      <c r="BK479" s="248">
        <f t="shared" si="446"/>
        <v>2.064121360812976</v>
      </c>
      <c r="BL479" s="94">
        <f t="shared" si="447"/>
        <v>1.8588723703224813E-2</v>
      </c>
      <c r="BM479" s="249">
        <f t="shared" si="448"/>
        <v>2.5470880190597671</v>
      </c>
      <c r="BN479" s="247">
        <f t="shared" si="449"/>
        <v>264.13867172417474</v>
      </c>
      <c r="BO479" s="248">
        <f t="shared" si="450"/>
        <v>2.0533935293306222</v>
      </c>
      <c r="BP479" s="94">
        <f t="shared" si="451"/>
        <v>1.8531010220623503E-2</v>
      </c>
      <c r="BQ479" s="249">
        <f t="shared" si="452"/>
        <v>2.6081144916025187</v>
      </c>
      <c r="BR479" s="247">
        <f t="shared" si="453"/>
        <v>256.67209481044677</v>
      </c>
      <c r="BS479" s="248">
        <f t="shared" si="454"/>
        <v>2.1334937082111303</v>
      </c>
      <c r="BT479" s="94">
        <f t="shared" si="455"/>
        <v>1.8954210559461098E-2</v>
      </c>
      <c r="BU479" s="249">
        <f t="shared" si="456"/>
        <v>2.152455640588554</v>
      </c>
      <c r="BV479" s="283">
        <f t="shared" si="457"/>
        <v>2.1524517796795726</v>
      </c>
      <c r="BW479" s="282">
        <f t="shared" si="458"/>
        <v>2904.1408000819183</v>
      </c>
      <c r="BX479" s="265">
        <f t="shared" si="418"/>
        <v>222.84527774840552</v>
      </c>
      <c r="BY479" s="265">
        <f t="shared" si="419"/>
        <v>220.97122172319058</v>
      </c>
      <c r="BZ479" s="284">
        <f t="shared" si="506"/>
        <v>218.11735374184448</v>
      </c>
      <c r="CA479" s="248">
        <f t="shared" si="459"/>
        <v>2.5471024732408862</v>
      </c>
      <c r="CB479" s="94">
        <f t="shared" si="460"/>
        <v>2.087131787037582E-2</v>
      </c>
      <c r="CC479" s="249">
        <f t="shared" si="461"/>
        <v>3.3295949290616282</v>
      </c>
      <c r="CD479" s="247">
        <f t="shared" si="462"/>
        <v>219.11735374184448</v>
      </c>
      <c r="CE479" s="248">
        <f t="shared" si="463"/>
        <v>2.536374641758532</v>
      </c>
      <c r="CF479" s="94">
        <f t="shared" si="464"/>
        <v>2.0826945454949397E-2</v>
      </c>
      <c r="CG479" s="249">
        <f t="shared" si="465"/>
        <v>3.3900180753417062</v>
      </c>
      <c r="CH479" s="247">
        <f t="shared" si="466"/>
        <v>207.41972902270621</v>
      </c>
      <c r="CI479" s="248">
        <f t="shared" si="467"/>
        <v>2.6618647884892654</v>
      </c>
      <c r="CJ479" s="94">
        <f t="shared" si="468"/>
        <v>2.1329311224273739E-2</v>
      </c>
      <c r="CK479" s="249">
        <f t="shared" si="469"/>
        <v>2.6832107858077539</v>
      </c>
      <c r="CL479" s="249">
        <f t="shared" si="470"/>
        <v>2.6832024427606465</v>
      </c>
      <c r="CM479" s="249">
        <f t="shared" si="471"/>
        <v>2776.0730760124115</v>
      </c>
      <c r="CN479" s="265">
        <f t="shared" si="420"/>
        <v>161.21260007274233</v>
      </c>
      <c r="CO479" s="265">
        <f t="shared" si="421"/>
        <v>163.52393619358912</v>
      </c>
      <c r="CP479" s="94">
        <f t="shared" si="472"/>
        <v>6.3821298336194848E-2</v>
      </c>
      <c r="CQ479" s="157">
        <f t="shared" si="422"/>
        <v>8.7716995638315076</v>
      </c>
      <c r="CR479" s="285">
        <f t="shared" si="423"/>
        <v>13.671183427655031</v>
      </c>
      <c r="CS479" s="157">
        <f t="shared" si="424"/>
        <v>30.640870073840627</v>
      </c>
      <c r="CT479" s="143">
        <f t="shared" si="425"/>
        <v>440.22630762015643</v>
      </c>
      <c r="CU479" s="247">
        <f t="shared" si="473"/>
        <v>256.67209481044677</v>
      </c>
      <c r="CV479" s="248">
        <f t="shared" si="474"/>
        <v>1.9691386628986982</v>
      </c>
      <c r="CW479" s="94">
        <f t="shared" si="475"/>
        <v>1.6810570507482307E-2</v>
      </c>
      <c r="CX479" s="249">
        <f t="shared" si="476"/>
        <v>2.1786983512117062</v>
      </c>
      <c r="CY479" s="247">
        <f t="shared" si="477"/>
        <v>257.67209481044677</v>
      </c>
      <c r="CZ479" s="248">
        <f t="shared" si="478"/>
        <v>1.9584108314163442</v>
      </c>
      <c r="DA479" s="94">
        <f t="shared" si="479"/>
        <v>1.6754918352128483E-2</v>
      </c>
      <c r="DB479" s="249">
        <f t="shared" si="480"/>
        <v>2.2397248237544578</v>
      </c>
      <c r="DC479" s="247">
        <f t="shared" si="481"/>
        <v>253.98793890703493</v>
      </c>
      <c r="DD479" s="248">
        <f t="shared" si="482"/>
        <v>1.9979338351028662</v>
      </c>
      <c r="DE479" s="94">
        <f t="shared" si="483"/>
        <v>1.6958398746483215E-2</v>
      </c>
      <c r="DF479" s="249">
        <f t="shared" si="484"/>
        <v>2.0148937846716786</v>
      </c>
      <c r="DG479" s="283">
        <f t="shared" si="485"/>
        <v>2.014893009260514</v>
      </c>
      <c r="DH479" s="282">
        <f t="shared" si="486"/>
        <v>2896.7588476031178</v>
      </c>
      <c r="DI479" s="265">
        <f t="shared" si="426"/>
        <v>219.29052118625654</v>
      </c>
      <c r="DJ479" s="265">
        <f t="shared" si="427"/>
        <v>217.55911800141445</v>
      </c>
      <c r="DK479" s="284">
        <f t="shared" si="487"/>
        <v>207.41972902270621</v>
      </c>
      <c r="DL479" s="248">
        <f t="shared" si="488"/>
        <v>2.6618647884892654</v>
      </c>
      <c r="DM479" s="94">
        <f t="shared" si="489"/>
        <v>2.1329311224273739E-2</v>
      </c>
      <c r="DN479" s="249">
        <f t="shared" si="490"/>
        <v>2.6832107858077539</v>
      </c>
      <c r="DO479" s="247">
        <f t="shared" si="491"/>
        <v>208.41972902270621</v>
      </c>
      <c r="DP479" s="248">
        <f t="shared" si="492"/>
        <v>2.6511369570069117</v>
      </c>
      <c r="DQ479" s="94">
        <f t="shared" si="493"/>
        <v>2.128777287273861E-2</v>
      </c>
      <c r="DR479" s="249">
        <f t="shared" si="494"/>
        <v>2.7436339320878322</v>
      </c>
      <c r="DS479" s="247">
        <f t="shared" si="495"/>
        <v>207.41949464281453</v>
      </c>
      <c r="DT479" s="248">
        <f t="shared" si="496"/>
        <v>2.6618673028772464</v>
      </c>
      <c r="DU479" s="94">
        <f t="shared" si="497"/>
        <v>2.1329320929675995E-2</v>
      </c>
      <c r="DV479" s="249">
        <f t="shared" si="498"/>
        <v>2.6831966238372735</v>
      </c>
      <c r="DW479" s="249">
        <f t="shared" si="499"/>
        <v>2.6831966238220977</v>
      </c>
      <c r="DX479" s="249">
        <f t="shared" si="500"/>
        <v>2776.0781133500564</v>
      </c>
      <c r="DY479" s="265">
        <f t="shared" si="428"/>
        <v>161.21502547576102</v>
      </c>
      <c r="DZ479" s="265">
        <f t="shared" si="429"/>
        <v>163.52631632424976</v>
      </c>
      <c r="EA479" s="94">
        <f t="shared" si="501"/>
        <v>5.787055355190171E-2</v>
      </c>
      <c r="EB479" s="157">
        <f t="shared" si="430"/>
        <v>8.3154499580441978</v>
      </c>
      <c r="EC479" s="285">
        <f t="shared" si="502"/>
        <v>13.071410144693889</v>
      </c>
      <c r="ED479" s="157">
        <f t="shared" si="503"/>
        <v>29.296613716355306</v>
      </c>
      <c r="EE479" s="143">
        <f t="shared" si="431"/>
        <v>440.89843579889907</v>
      </c>
    </row>
    <row r="480" spans="1:135" ht="12" customHeight="1" x14ac:dyDescent="0.2">
      <c r="A480" s="200" t="s">
        <v>442</v>
      </c>
      <c r="B480" s="236">
        <f t="shared" si="432"/>
        <v>222.84527774840552</v>
      </c>
      <c r="C480" s="237">
        <f t="shared" si="433"/>
        <v>4.9763921728278122</v>
      </c>
      <c r="D480" s="236">
        <f t="shared" si="434"/>
        <v>2904.1408000819183</v>
      </c>
      <c r="E480" s="236">
        <f t="shared" si="504"/>
        <v>161.21260007274233</v>
      </c>
      <c r="F480" s="237">
        <f t="shared" si="435"/>
        <v>4.9907633340112723</v>
      </c>
      <c r="G480" s="238">
        <f t="shared" si="436"/>
        <v>2776.0781133500564</v>
      </c>
      <c r="H480" s="118">
        <v>0</v>
      </c>
      <c r="I480" s="239">
        <f t="shared" si="437"/>
        <v>426.25012894072142</v>
      </c>
      <c r="J480" s="154">
        <f t="shared" si="438"/>
        <v>9.7032258064516153E-2</v>
      </c>
      <c r="K480" s="149">
        <f t="shared" si="376"/>
        <v>0.20122914908266756</v>
      </c>
      <c r="L480" s="240">
        <f t="shared" si="377"/>
        <v>426.25012894072142</v>
      </c>
      <c r="M480" s="154">
        <f t="shared" si="378"/>
        <v>0.48500513204102991</v>
      </c>
      <c r="N480" s="241">
        <f t="shared" si="379"/>
        <v>426.25012894072142</v>
      </c>
      <c r="O480" s="150">
        <f t="shared" si="380"/>
        <v>0.82877321007942195</v>
      </c>
      <c r="P480" s="150">
        <f t="shared" si="381"/>
        <v>4.5862023168708284</v>
      </c>
      <c r="Q480" s="152">
        <f t="shared" si="382"/>
        <v>3.3188945128594794E-5</v>
      </c>
      <c r="R480" s="152">
        <f t="shared" si="439"/>
        <v>508.46453235247253</v>
      </c>
      <c r="S480" s="153">
        <f t="shared" si="383"/>
        <v>0.12586915296509724</v>
      </c>
      <c r="T480" s="154">
        <f t="shared" si="384"/>
        <v>1.0263929207073581</v>
      </c>
      <c r="U480" s="155">
        <f t="shared" si="385"/>
        <v>0.6845100911263281</v>
      </c>
      <c r="V480" s="154">
        <f t="shared" si="386"/>
        <v>5.1542917705932979E-2</v>
      </c>
      <c r="W480" s="154">
        <f t="shared" si="440"/>
        <v>0.42760868056863571</v>
      </c>
      <c r="X480" s="154">
        <f t="shared" si="441"/>
        <v>0.29136781092426323</v>
      </c>
      <c r="Y480" s="154">
        <f t="shared" si="387"/>
        <v>6.0992934999223722</v>
      </c>
      <c r="Z480" s="154">
        <f t="shared" si="388"/>
        <v>41.437539660788708</v>
      </c>
      <c r="AA480" s="154">
        <f t="shared" si="389"/>
        <v>0.82664217565042619</v>
      </c>
      <c r="AB480" s="1"/>
      <c r="AC480" s="242">
        <f t="shared" si="390"/>
        <v>0.1190144808889225</v>
      </c>
      <c r="AD480" s="263">
        <f t="shared" si="391"/>
        <v>2.224078945192542</v>
      </c>
      <c r="AE480" s="282">
        <f t="shared" si="392"/>
        <v>222.84527774840552</v>
      </c>
      <c r="AF480" s="243">
        <f t="shared" si="393"/>
        <v>0.32246710010912816</v>
      </c>
      <c r="AG480" s="243">
        <f t="shared" si="394"/>
        <v>20.08575184898358</v>
      </c>
      <c r="AH480" s="264">
        <f t="shared" si="395"/>
        <v>1.7067114585754826E-5</v>
      </c>
      <c r="AI480" s="264">
        <f t="shared" si="396"/>
        <v>11834.009300976017</v>
      </c>
      <c r="AJ480" s="245">
        <f t="shared" si="397"/>
        <v>4.4363660640544873E-2</v>
      </c>
      <c r="AK480" s="264">
        <f t="shared" si="398"/>
        <v>53.394459608933062</v>
      </c>
      <c r="AL480" s="246">
        <f t="shared" si="399"/>
        <v>0.98940094119890842</v>
      </c>
      <c r="AM480" s="263">
        <f t="shared" si="400"/>
        <v>3.7028541645564995E-2</v>
      </c>
      <c r="AN480" s="263">
        <f t="shared" si="442"/>
        <v>1.116069816775938</v>
      </c>
      <c r="AO480" s="263">
        <f t="shared" si="443"/>
        <v>1.0373711858884334</v>
      </c>
      <c r="AP480" s="235">
        <f t="shared" si="401"/>
        <v>43.084044871257355</v>
      </c>
      <c r="AQ480" s="235">
        <f t="shared" si="402"/>
        <v>352.85750459496239</v>
      </c>
      <c r="AR480" s="263">
        <f t="shared" si="403"/>
        <v>5.0119063812350531</v>
      </c>
      <c r="AT480" s="242">
        <f t="shared" si="404"/>
        <v>0.11726393910699953</v>
      </c>
      <c r="AU480" s="263">
        <f t="shared" si="405"/>
        <v>2.6712037068437131</v>
      </c>
      <c r="AV480" s="282">
        <f t="shared" si="406"/>
        <v>161.21260007274233</v>
      </c>
      <c r="AW480" s="243">
        <f t="shared" si="407"/>
        <v>0.26849030121983475</v>
      </c>
      <c r="AX480" s="243">
        <f t="shared" si="408"/>
        <v>16.723658203690956</v>
      </c>
      <c r="AY480" s="264">
        <f t="shared" si="409"/>
        <v>1.4509912295830422E-5</v>
      </c>
      <c r="AZ480" s="264">
        <f t="shared" si="410"/>
        <v>13919.614993585106</v>
      </c>
      <c r="BA480" s="245">
        <f t="shared" si="411"/>
        <v>4.3711131293105152E-2</v>
      </c>
      <c r="BB480" s="264">
        <f t="shared" si="412"/>
        <v>43.803020374959935</v>
      </c>
      <c r="BC480" s="246">
        <f t="shared" si="413"/>
        <v>1.0503438835109624</v>
      </c>
      <c r="BD480" s="263">
        <f t="shared" si="414"/>
        <v>3.2137086232569029E-2</v>
      </c>
      <c r="BE480" s="263">
        <f t="shared" si="444"/>
        <v>1.0662687141660867</v>
      </c>
      <c r="BF480" s="263">
        <f t="shared" si="445"/>
        <v>1.0202798274479792</v>
      </c>
      <c r="BG480" s="235">
        <f t="shared" si="415"/>
        <v>49.417585108952245</v>
      </c>
      <c r="BH480" s="235">
        <f t="shared" si="416"/>
        <v>351.26453022465665</v>
      </c>
      <c r="BI480" s="263">
        <f t="shared" si="417"/>
        <v>4.9892801417255832</v>
      </c>
      <c r="BJ480" s="247">
        <f t="shared" si="505"/>
        <v>256.67209481044677</v>
      </c>
      <c r="BK480" s="248">
        <f t="shared" si="446"/>
        <v>1.7002520486634094</v>
      </c>
      <c r="BL480" s="94">
        <f t="shared" si="447"/>
        <v>1.4971850435375297E-2</v>
      </c>
      <c r="BM480" s="249">
        <f t="shared" si="448"/>
        <v>2.0563178048091415</v>
      </c>
      <c r="BN480" s="247">
        <f t="shared" si="449"/>
        <v>257.67209481044677</v>
      </c>
      <c r="BO480" s="248">
        <f t="shared" si="450"/>
        <v>1.6902256790490688</v>
      </c>
      <c r="BP480" s="94">
        <f t="shared" si="451"/>
        <v>1.4916198280021475E-2</v>
      </c>
      <c r="BQ480" s="249">
        <f t="shared" si="452"/>
        <v>2.1171073789815411</v>
      </c>
      <c r="BR480" s="247">
        <f t="shared" si="453"/>
        <v>251.85925122796206</v>
      </c>
      <c r="BS480" s="248">
        <f t="shared" si="454"/>
        <v>1.7485073973174086</v>
      </c>
      <c r="BT480" s="94">
        <f t="shared" si="455"/>
        <v>1.5235319903307811E-2</v>
      </c>
      <c r="BU480" s="249">
        <f t="shared" si="456"/>
        <v>1.7637470928715313</v>
      </c>
      <c r="BV480" s="283">
        <f t="shared" si="457"/>
        <v>1.7637449050461238</v>
      </c>
      <c r="BW480" s="282">
        <f t="shared" si="458"/>
        <v>2906.6000358194974</v>
      </c>
      <c r="BX480" s="265">
        <f t="shared" si="418"/>
        <v>224.02832917424948</v>
      </c>
      <c r="BY480" s="265">
        <f t="shared" si="419"/>
        <v>222.49977544872002</v>
      </c>
      <c r="BZ480" s="284">
        <f t="shared" si="506"/>
        <v>207.41972902270621</v>
      </c>
      <c r="CA480" s="248">
        <f t="shared" si="459"/>
        <v>2.1940744724320029</v>
      </c>
      <c r="CB480" s="94">
        <f t="shared" si="460"/>
        <v>1.7346951100187941E-2</v>
      </c>
      <c r="CC480" s="249">
        <f t="shared" si="461"/>
        <v>2.7962308674017518</v>
      </c>
      <c r="CD480" s="247">
        <f t="shared" si="462"/>
        <v>208.41972902270621</v>
      </c>
      <c r="CE480" s="248">
        <f t="shared" si="463"/>
        <v>2.1840481028176622</v>
      </c>
      <c r="CF480" s="94">
        <f t="shared" si="464"/>
        <v>1.7305412748652813E-2</v>
      </c>
      <c r="CG480" s="249">
        <f t="shared" si="465"/>
        <v>2.8567460071852619</v>
      </c>
      <c r="CH480" s="247">
        <f t="shared" si="466"/>
        <v>199.13431967135597</v>
      </c>
      <c r="CI480" s="248">
        <f t="shared" si="467"/>
        <v>2.2771470489947547</v>
      </c>
      <c r="CJ480" s="94">
        <f t="shared" si="468"/>
        <v>1.7681266766059932E-2</v>
      </c>
      <c r="CK480" s="249">
        <f t="shared" si="469"/>
        <v>2.294838162341188</v>
      </c>
      <c r="CL480" s="249">
        <f t="shared" si="470"/>
        <v>2.2948332390510013</v>
      </c>
      <c r="CM480" s="249">
        <f t="shared" si="471"/>
        <v>2772.8733298943007</v>
      </c>
      <c r="CN480" s="265">
        <f t="shared" si="420"/>
        <v>159.67321714094606</v>
      </c>
      <c r="CO480" s="265">
        <f t="shared" si="421"/>
        <v>161.59857666726759</v>
      </c>
      <c r="CP480" s="94">
        <f t="shared" si="472"/>
        <v>5.2766266631732686E-2</v>
      </c>
      <c r="CQ480" s="157">
        <f t="shared" si="422"/>
        <v>7.3827249344967241</v>
      </c>
      <c r="CR480" s="285">
        <f t="shared" si="423"/>
        <v>11.494074268515769</v>
      </c>
      <c r="CS480" s="157">
        <f t="shared" si="424"/>
        <v>25.761371584572181</v>
      </c>
      <c r="CT480" s="143">
        <f t="shared" si="425"/>
        <v>413.36944314843532</v>
      </c>
      <c r="CU480" s="247">
        <f t="shared" si="473"/>
        <v>251.85925122796206</v>
      </c>
      <c r="CV480" s="248">
        <f t="shared" si="474"/>
        <v>1.6193608806777617</v>
      </c>
      <c r="CW480" s="94">
        <f t="shared" si="475"/>
        <v>1.3635579322757056E-2</v>
      </c>
      <c r="CX480" s="249">
        <f t="shared" si="476"/>
        <v>1.7847500305449981</v>
      </c>
      <c r="CY480" s="247">
        <f t="shared" si="477"/>
        <v>252.85925122796206</v>
      </c>
      <c r="CZ480" s="248">
        <f t="shared" si="478"/>
        <v>1.6093345110634212</v>
      </c>
      <c r="DA480" s="94">
        <f t="shared" si="479"/>
        <v>1.3581429061904364E-2</v>
      </c>
      <c r="DB480" s="249">
        <f t="shared" si="480"/>
        <v>1.8455396047173975</v>
      </c>
      <c r="DC480" s="247">
        <f t="shared" si="481"/>
        <v>249.71795915570138</v>
      </c>
      <c r="DD480" s="248">
        <f t="shared" si="482"/>
        <v>1.6408302664465046</v>
      </c>
      <c r="DE480" s="94">
        <f t="shared" si="483"/>
        <v>1.3750494361888551E-2</v>
      </c>
      <c r="DF480" s="249">
        <f t="shared" si="484"/>
        <v>1.6545817972935364</v>
      </c>
      <c r="DG480" s="283">
        <f t="shared" si="485"/>
        <v>1.6545812790509649</v>
      </c>
      <c r="DH480" s="282">
        <f t="shared" si="486"/>
        <v>2899.0658736364917</v>
      </c>
      <c r="DI480" s="265">
        <f t="shared" si="426"/>
        <v>220.40025800027476</v>
      </c>
      <c r="DJ480" s="265">
        <f t="shared" si="427"/>
        <v>218.97968800084459</v>
      </c>
      <c r="DK480" s="284">
        <f t="shared" si="487"/>
        <v>199.13431967135597</v>
      </c>
      <c r="DL480" s="248">
        <f t="shared" si="488"/>
        <v>2.2771470489947547</v>
      </c>
      <c r="DM480" s="94">
        <f t="shared" si="489"/>
        <v>1.7681266766059932E-2</v>
      </c>
      <c r="DN480" s="249">
        <f t="shared" si="490"/>
        <v>2.294838162341188</v>
      </c>
      <c r="DO480" s="247">
        <f t="shared" si="491"/>
        <v>200.13431967135597</v>
      </c>
      <c r="DP480" s="248">
        <f t="shared" si="492"/>
        <v>2.2671206793804144</v>
      </c>
      <c r="DQ480" s="94">
        <f t="shared" si="493"/>
        <v>1.7641838538431306E-2</v>
      </c>
      <c r="DR480" s="249">
        <f t="shared" si="494"/>
        <v>2.3553533021246986</v>
      </c>
      <c r="DS480" s="247">
        <f t="shared" si="495"/>
        <v>199.13418016371119</v>
      </c>
      <c r="DT480" s="248">
        <f t="shared" si="496"/>
        <v>2.2771484477499655</v>
      </c>
      <c r="DU480" s="94">
        <f t="shared" si="497"/>
        <v>1.7681272249151937E-2</v>
      </c>
      <c r="DV480" s="249">
        <f t="shared" si="498"/>
        <v>2.2948297200165637</v>
      </c>
      <c r="DW480" s="249">
        <f t="shared" si="499"/>
        <v>2.2948297200078405</v>
      </c>
      <c r="DX480" s="249">
        <f t="shared" si="500"/>
        <v>2772.8783721386399</v>
      </c>
      <c r="DY480" s="265">
        <f t="shared" si="428"/>
        <v>159.67564489627031</v>
      </c>
      <c r="DZ480" s="265">
        <f t="shared" si="429"/>
        <v>161.60098061026002</v>
      </c>
      <c r="EA480" s="94">
        <f t="shared" si="501"/>
        <v>4.8325386780123783E-2</v>
      </c>
      <c r="EB480" s="157">
        <f t="shared" si="430"/>
        <v>7.0242142043050633</v>
      </c>
      <c r="EC480" s="285">
        <f t="shared" si="502"/>
        <v>11.021950590152716</v>
      </c>
      <c r="ED480" s="157">
        <f t="shared" si="503"/>
        <v>24.703212986667435</v>
      </c>
      <c r="EE480" s="143">
        <f t="shared" si="431"/>
        <v>413.89852244738773</v>
      </c>
    </row>
    <row r="481" spans="1:135" ht="12" customHeight="1" x14ac:dyDescent="0.2">
      <c r="A481" s="200" t="s">
        <v>442</v>
      </c>
      <c r="B481" s="236">
        <f t="shared" si="432"/>
        <v>224.02832917424948</v>
      </c>
      <c r="C481" s="237">
        <f t="shared" si="433"/>
        <v>4.975858228231723</v>
      </c>
      <c r="D481" s="236">
        <f t="shared" si="434"/>
        <v>2906.6000358194974</v>
      </c>
      <c r="E481" s="236">
        <f t="shared" si="504"/>
        <v>159.67321714094606</v>
      </c>
      <c r="F481" s="237">
        <f t="shared" si="435"/>
        <v>4.9912013642150219</v>
      </c>
      <c r="G481" s="238">
        <f t="shared" si="436"/>
        <v>2772.8783721386399</v>
      </c>
      <c r="H481" s="118">
        <v>0</v>
      </c>
      <c r="I481" s="239">
        <f t="shared" si="437"/>
        <v>401.54691595405399</v>
      </c>
      <c r="J481" s="154">
        <f t="shared" si="438"/>
        <v>0.10916129032258068</v>
      </c>
      <c r="K481" s="149">
        <f t="shared" si="376"/>
        <v>0.19660689983605065</v>
      </c>
      <c r="L481" s="240">
        <f t="shared" si="377"/>
        <v>401.54691595405399</v>
      </c>
      <c r="M481" s="154">
        <f t="shared" si="378"/>
        <v>0.50326404927609958</v>
      </c>
      <c r="N481" s="241">
        <f t="shared" si="379"/>
        <v>401.54691595405399</v>
      </c>
      <c r="O481" s="150">
        <f t="shared" si="380"/>
        <v>0.79870449869173199</v>
      </c>
      <c r="P481" s="150">
        <f t="shared" si="381"/>
        <v>4.4198103628906447</v>
      </c>
      <c r="Q481" s="152">
        <f t="shared" si="382"/>
        <v>3.2426592470861113E-5</v>
      </c>
      <c r="R481" s="152">
        <f t="shared" si="439"/>
        <v>520.41858789964556</v>
      </c>
      <c r="S481" s="153">
        <f t="shared" si="383"/>
        <v>0.12297792870600037</v>
      </c>
      <c r="T481" s="154">
        <f t="shared" si="384"/>
        <v>0.9664334178166738</v>
      </c>
      <c r="U481" s="155">
        <f t="shared" si="385"/>
        <v>0.68364132488357987</v>
      </c>
      <c r="V481" s="154">
        <f t="shared" si="386"/>
        <v>5.0306052534903528E-2</v>
      </c>
      <c r="W481" s="154">
        <f t="shared" si="440"/>
        <v>0.41114564001521536</v>
      </c>
      <c r="X481" s="154">
        <f t="shared" si="441"/>
        <v>0.27944131558785285</v>
      </c>
      <c r="Y481" s="154">
        <f t="shared" si="387"/>
        <v>5.892624166941232</v>
      </c>
      <c r="Z481" s="154">
        <f t="shared" si="388"/>
        <v>39.072789045373717</v>
      </c>
      <c r="AA481" s="154">
        <f t="shared" si="389"/>
        <v>0.77946749757833234</v>
      </c>
      <c r="AB481" s="1"/>
      <c r="AC481" s="242">
        <f t="shared" si="390"/>
        <v>0.11904751711595546</v>
      </c>
      <c r="AD481" s="263">
        <f t="shared" si="391"/>
        <v>2.2180153206576581</v>
      </c>
      <c r="AE481" s="282">
        <f t="shared" si="392"/>
        <v>224.02832917424948</v>
      </c>
      <c r="AF481" s="243">
        <f t="shared" si="393"/>
        <v>0.32334866273933344</v>
      </c>
      <c r="AG481" s="243">
        <f t="shared" si="394"/>
        <v>20.140662406444012</v>
      </c>
      <c r="AH481" s="264">
        <f t="shared" si="395"/>
        <v>1.7116219747935333E-5</v>
      </c>
      <c r="AI481" s="264">
        <f t="shared" si="396"/>
        <v>11800.058407932582</v>
      </c>
      <c r="AJ481" s="245">
        <f t="shared" si="397"/>
        <v>4.437597517533079E-2</v>
      </c>
      <c r="AK481" s="264">
        <f t="shared" si="398"/>
        <v>53.555291562484364</v>
      </c>
      <c r="AL481" s="246">
        <f t="shared" si="399"/>
        <v>0.98843537393071057</v>
      </c>
      <c r="AM481" s="263">
        <f t="shared" si="400"/>
        <v>3.7128985028203068E-2</v>
      </c>
      <c r="AN481" s="263">
        <f t="shared" si="442"/>
        <v>0.34493878596734801</v>
      </c>
      <c r="AO481" s="263">
        <f t="shared" si="443"/>
        <v>-5.8241094605013677</v>
      </c>
      <c r="AP481" s="235">
        <f t="shared" si="401"/>
        <v>-241.23704614389749</v>
      </c>
      <c r="AQ481" s="235">
        <f t="shared" si="402"/>
        <v>-1981.0861440601395</v>
      </c>
      <c r="AR481" s="263">
        <f t="shared" si="403"/>
        <v>-28.138889375723114</v>
      </c>
      <c r="AT481" s="242">
        <f t="shared" si="404"/>
        <v>0.1172194371686186</v>
      </c>
      <c r="AU481" s="263">
        <f t="shared" si="405"/>
        <v>2.6714245785015667</v>
      </c>
      <c r="AV481" s="282">
        <f t="shared" si="406"/>
        <v>159.67321714094606</v>
      </c>
      <c r="AW481" s="243">
        <f t="shared" si="407"/>
        <v>0.26846810261523057</v>
      </c>
      <c r="AX481" s="243">
        <f t="shared" si="408"/>
        <v>16.72227550243764</v>
      </c>
      <c r="AY481" s="264">
        <f t="shared" si="409"/>
        <v>1.4446066808104361E-5</v>
      </c>
      <c r="AZ481" s="264">
        <f t="shared" si="410"/>
        <v>13981.133787595238</v>
      </c>
      <c r="BA481" s="245">
        <f t="shared" si="411"/>
        <v>4.3694542816833763E-2</v>
      </c>
      <c r="BB481" s="264">
        <f t="shared" si="412"/>
        <v>43.782776795556643</v>
      </c>
      <c r="BC481" s="246">
        <f t="shared" si="413"/>
        <v>1.0521389290724481</v>
      </c>
      <c r="BD481" s="263">
        <f t="shared" si="414"/>
        <v>3.2023662417125259E-2</v>
      </c>
      <c r="BE481" s="263">
        <f t="shared" si="444"/>
        <v>1.0689739427965637</v>
      </c>
      <c r="BF481" s="263">
        <f t="shared" si="445"/>
        <v>1.0211329884614444</v>
      </c>
      <c r="BG481" s="235">
        <f t="shared" si="415"/>
        <v>49.667613374244688</v>
      </c>
      <c r="BH481" s="235">
        <f t="shared" si="416"/>
        <v>351.79573647728648</v>
      </c>
      <c r="BI481" s="263">
        <f t="shared" si="417"/>
        <v>4.9968252724728046</v>
      </c>
      <c r="BJ481" s="247">
        <f t="shared" si="505"/>
        <v>251.85925122796206</v>
      </c>
      <c r="BK481" s="248">
        <f t="shared" si="446"/>
        <v>1.4151750874302953</v>
      </c>
      <c r="BL481" s="94">
        <f t="shared" si="447"/>
        <v>1.2244415039728587E-2</v>
      </c>
      <c r="BM481" s="249">
        <f t="shared" si="448"/>
        <v>-9.4986240345827646</v>
      </c>
      <c r="BN481" s="247">
        <f t="shared" si="449"/>
        <v>252.85925122796206</v>
      </c>
      <c r="BO481" s="248">
        <f t="shared" si="450"/>
        <v>1.4057209010080549</v>
      </c>
      <c r="BP481" s="94">
        <f t="shared" si="451"/>
        <v>1.2190264778875892E-2</v>
      </c>
      <c r="BQ481" s="249">
        <f t="shared" si="452"/>
        <v>-9.8399215315270201</v>
      </c>
      <c r="BR481" s="247">
        <f t="shared" si="453"/>
        <v>218.92856859670158</v>
      </c>
      <c r="BS481" s="248">
        <f t="shared" si="454"/>
        <v>1.7265079000378669</v>
      </c>
      <c r="BT481" s="94">
        <f t="shared" si="455"/>
        <v>1.3862078062797052E-2</v>
      </c>
      <c r="BU481" s="249">
        <f t="shared" si="456"/>
        <v>1.7405355201320847</v>
      </c>
      <c r="BV481" s="283">
        <f t="shared" si="457"/>
        <v>1.7404527491163744</v>
      </c>
      <c r="BW481" s="282">
        <f t="shared" si="458"/>
        <v>2909.0267946937252</v>
      </c>
      <c r="BX481" s="265">
        <f t="shared" si="418"/>
        <v>225.19574904411024</v>
      </c>
      <c r="BY481" s="265">
        <f t="shared" si="419"/>
        <v>223.84776224641513</v>
      </c>
      <c r="BZ481" s="284">
        <f t="shared" si="506"/>
        <v>199.13431967135597</v>
      </c>
      <c r="CA481" s="248">
        <f t="shared" si="459"/>
        <v>1.9136464194663165</v>
      </c>
      <c r="CB481" s="94">
        <f t="shared" si="460"/>
        <v>1.4690361902480707E-2</v>
      </c>
      <c r="CC481" s="249">
        <f t="shared" si="461"/>
        <v>2.3916054237339011</v>
      </c>
      <c r="CD481" s="247">
        <f t="shared" si="462"/>
        <v>200.13431967135597</v>
      </c>
      <c r="CE481" s="248">
        <f t="shared" si="463"/>
        <v>1.9041922330440761</v>
      </c>
      <c r="CF481" s="94">
        <f t="shared" si="464"/>
        <v>1.4650933674852078E-2</v>
      </c>
      <c r="CG481" s="249">
        <f t="shared" si="465"/>
        <v>2.4522120786516357</v>
      </c>
      <c r="CH481" s="247">
        <f t="shared" si="466"/>
        <v>192.5256625973866</v>
      </c>
      <c r="CI481" s="248">
        <f t="shared" si="467"/>
        <v>1.9761258954442809</v>
      </c>
      <c r="CJ481" s="94">
        <f t="shared" si="468"/>
        <v>1.4944700313562334E-2</v>
      </c>
      <c r="CK481" s="249">
        <f t="shared" si="469"/>
        <v>1.9910768249821931</v>
      </c>
      <c r="CL481" s="249">
        <f t="shared" si="470"/>
        <v>1.991073710370018</v>
      </c>
      <c r="CM481" s="249">
        <f t="shared" si="471"/>
        <v>2770.0971236466244</v>
      </c>
      <c r="CN481" s="265">
        <f t="shared" si="420"/>
        <v>158.33777290282478</v>
      </c>
      <c r="CO481" s="265">
        <f t="shared" si="421"/>
        <v>159.96817478504619</v>
      </c>
      <c r="CP481" s="94">
        <f t="shared" si="472"/>
        <v>4.4463514730436748E-2</v>
      </c>
      <c r="CQ481" s="157">
        <f t="shared" si="422"/>
        <v>6.3130774013958808</v>
      </c>
      <c r="CR481" s="285">
        <f t="shared" si="423"/>
        <v>10.089070490224884</v>
      </c>
      <c r="CS481" s="157">
        <f t="shared" si="424"/>
        <v>22.612372929724163</v>
      </c>
      <c r="CT481" s="143">
        <f t="shared" si="425"/>
        <v>390.24072948919189</v>
      </c>
      <c r="CU481" s="247">
        <f t="shared" si="473"/>
        <v>218.92856859670158</v>
      </c>
      <c r="CV481" s="248">
        <f t="shared" si="474"/>
        <v>1.619617105474449</v>
      </c>
      <c r="CW481" s="94">
        <f t="shared" si="475"/>
        <v>1.2598361361732006E-2</v>
      </c>
      <c r="CX481" s="249">
        <f t="shared" si="476"/>
        <v>1.6789084796313076</v>
      </c>
      <c r="CY481" s="247">
        <f t="shared" si="477"/>
        <v>219.92856859670158</v>
      </c>
      <c r="CZ481" s="248">
        <f t="shared" si="478"/>
        <v>1.6101629190522087</v>
      </c>
      <c r="DA481" s="94">
        <f t="shared" si="479"/>
        <v>1.2553768927833204E-2</v>
      </c>
      <c r="DB481" s="249">
        <f t="shared" si="480"/>
        <v>1.3376109826870528</v>
      </c>
      <c r="DC481" s="247">
        <f t="shared" si="481"/>
        <v>219.06929552013329</v>
      </c>
      <c r="DD481" s="248">
        <f t="shared" si="482"/>
        <v>1.6182866469056973</v>
      </c>
      <c r="DE481" s="94">
        <f t="shared" si="483"/>
        <v>1.2592102423161132E-2</v>
      </c>
      <c r="DF481" s="249">
        <f t="shared" si="484"/>
        <v>1.6308787329113978</v>
      </c>
      <c r="DG481" s="283">
        <f t="shared" si="485"/>
        <v>1.6308787411201282</v>
      </c>
      <c r="DH481" s="282">
        <f t="shared" si="486"/>
        <v>2901.3398506001367</v>
      </c>
      <c r="DI481" s="265">
        <f t="shared" si="426"/>
        <v>221.49408689458633</v>
      </c>
      <c r="DJ481" s="265">
        <f t="shared" si="427"/>
        <v>220.23688744771545</v>
      </c>
      <c r="DK481" s="284">
        <f t="shared" si="487"/>
        <v>192.5256625973866</v>
      </c>
      <c r="DL481" s="248">
        <f t="shared" si="488"/>
        <v>1.9761258954442809</v>
      </c>
      <c r="DM481" s="94">
        <f t="shared" si="489"/>
        <v>1.4944700313562334E-2</v>
      </c>
      <c r="DN481" s="249">
        <f t="shared" si="490"/>
        <v>1.9910768249821931</v>
      </c>
      <c r="DO481" s="247">
        <f t="shared" si="491"/>
        <v>193.5256625973866</v>
      </c>
      <c r="DP481" s="248">
        <f t="shared" si="492"/>
        <v>1.9666717090220405</v>
      </c>
      <c r="DQ481" s="94">
        <f t="shared" si="493"/>
        <v>1.4906902993821212E-2</v>
      </c>
      <c r="DR481" s="249">
        <f t="shared" si="494"/>
        <v>2.0516834798999279</v>
      </c>
      <c r="DS481" s="247">
        <f t="shared" si="495"/>
        <v>192.52557373368725</v>
      </c>
      <c r="DT481" s="248">
        <f t="shared" si="496"/>
        <v>1.9761267355782608</v>
      </c>
      <c r="DU481" s="94">
        <f t="shared" si="497"/>
        <v>1.4944703661567752E-2</v>
      </c>
      <c r="DV481" s="249">
        <f t="shared" si="498"/>
        <v>1.9910714392506321</v>
      </c>
      <c r="DW481" s="249">
        <f t="shared" si="499"/>
        <v>1.9910714392452302</v>
      </c>
      <c r="DX481" s="249">
        <f t="shared" si="500"/>
        <v>2770.1021690576522</v>
      </c>
      <c r="DY481" s="265">
        <f t="shared" si="428"/>
        <v>158.34020217266044</v>
      </c>
      <c r="DZ481" s="265">
        <f t="shared" si="429"/>
        <v>159.97059139146023</v>
      </c>
      <c r="EA481" s="94">
        <f t="shared" si="501"/>
        <v>4.0955437168280186E-2</v>
      </c>
      <c r="EB481" s="157">
        <f t="shared" si="430"/>
        <v>6.0163485556878324</v>
      </c>
      <c r="EC481" s="285">
        <f t="shared" si="502"/>
        <v>9.6792541732268731</v>
      </c>
      <c r="ED481" s="157">
        <f t="shared" si="503"/>
        <v>21.693862210463791</v>
      </c>
      <c r="EE481" s="143">
        <f t="shared" si="431"/>
        <v>390.69998484882211</v>
      </c>
    </row>
    <row r="482" spans="1:135" ht="12" customHeight="1" x14ac:dyDescent="0.2">
      <c r="A482" s="200" t="s">
        <v>442</v>
      </c>
      <c r="B482" s="236">
        <f t="shared" si="432"/>
        <v>225.19574904411024</v>
      </c>
      <c r="C482" s="237">
        <f t="shared" si="433"/>
        <v>4.9753226753160984</v>
      </c>
      <c r="D482" s="236">
        <f t="shared" si="434"/>
        <v>2909.0267946937252</v>
      </c>
      <c r="E482" s="236">
        <f t="shared" si="504"/>
        <v>158.33777290282478</v>
      </c>
      <c r="F482" s="237">
        <f t="shared" si="435"/>
        <v>4.9916391919829772</v>
      </c>
      <c r="G482" s="238">
        <f t="shared" si="436"/>
        <v>2770.1021690576522</v>
      </c>
      <c r="H482" s="118">
        <v>0</v>
      </c>
      <c r="I482" s="239">
        <f t="shared" si="437"/>
        <v>379.85305374359018</v>
      </c>
      <c r="J482" s="154">
        <f t="shared" si="438"/>
        <v>0.1212903225806452</v>
      </c>
      <c r="K482" s="149">
        <f t="shared" si="376"/>
        <v>0.19249394199915418</v>
      </c>
      <c r="L482" s="240">
        <f t="shared" si="377"/>
        <v>379.85305374359018</v>
      </c>
      <c r="M482" s="154">
        <f t="shared" si="378"/>
        <v>0.52086671304565824</v>
      </c>
      <c r="N482" s="241">
        <f t="shared" si="379"/>
        <v>379.85305374359018</v>
      </c>
      <c r="O482" s="150">
        <f t="shared" si="380"/>
        <v>0.77171232125060607</v>
      </c>
      <c r="P482" s="150">
        <f t="shared" si="381"/>
        <v>4.27044309906944</v>
      </c>
      <c r="Q482" s="152">
        <f t="shared" si="382"/>
        <v>3.1748237806105748E-5</v>
      </c>
      <c r="R482" s="152">
        <f t="shared" si="439"/>
        <v>531.53820905415364</v>
      </c>
      <c r="S482" s="153">
        <f t="shared" si="383"/>
        <v>0.12040526703411385</v>
      </c>
      <c r="T482" s="154">
        <f t="shared" si="384"/>
        <v>0.91423860003603208</v>
      </c>
      <c r="U482" s="155">
        <f t="shared" si="385"/>
        <v>0.6829828906865042</v>
      </c>
      <c r="V482" s="154">
        <f t="shared" si="386"/>
        <v>4.9219862547887815E-2</v>
      </c>
      <c r="W482" s="154">
        <f t="shared" si="440"/>
        <v>0.39695676490276766</v>
      </c>
      <c r="X482" s="154">
        <f t="shared" si="441"/>
        <v>0.26925688889073807</v>
      </c>
      <c r="Y482" s="154">
        <f t="shared" si="387"/>
        <v>5.8560000000000008</v>
      </c>
      <c r="Z482" s="154">
        <f t="shared" si="388"/>
        <v>37.991539688279047</v>
      </c>
      <c r="AA482" s="154">
        <f t="shared" si="389"/>
        <v>0.75789753159371698</v>
      </c>
      <c r="AB482" s="1"/>
      <c r="AC482" s="242">
        <f t="shared" si="390"/>
        <v>0.11908009695501946</v>
      </c>
      <c r="AD482" s="263">
        <f t="shared" si="391"/>
        <v>2.2120626590089167</v>
      </c>
      <c r="AE482" s="282">
        <f t="shared" si="392"/>
        <v>225.19574904411024</v>
      </c>
      <c r="AF482" s="243">
        <f t="shared" si="393"/>
        <v>0.32421879414181487</v>
      </c>
      <c r="AG482" s="243">
        <f t="shared" si="394"/>
        <v>20.19486093838831</v>
      </c>
      <c r="AH482" s="264">
        <f t="shared" si="395"/>
        <v>1.7164676795289971E-5</v>
      </c>
      <c r="AI482" s="264">
        <f t="shared" si="396"/>
        <v>11766.746042318009</v>
      </c>
      <c r="AJ482" s="245">
        <f t="shared" si="397"/>
        <v>4.4388119587617118E-2</v>
      </c>
      <c r="AK482" s="264">
        <f t="shared" si="398"/>
        <v>53.714104841712022</v>
      </c>
      <c r="AL482" s="246">
        <f t="shared" si="399"/>
        <v>0.9874901779991303</v>
      </c>
      <c r="AM482" s="263">
        <f t="shared" si="400"/>
        <v>3.7228344861799233E-2</v>
      </c>
      <c r="AN482" s="263">
        <f t="shared" si="442"/>
        <v>0.33313558067438653</v>
      </c>
      <c r="AO482" s="263">
        <f t="shared" si="443"/>
        <v>0.22690673303773329</v>
      </c>
      <c r="AP482" s="235">
        <f t="shared" si="401"/>
        <v>9.3737515213890514</v>
      </c>
      <c r="AQ482" s="235">
        <f t="shared" si="402"/>
        <v>77.185095613351962</v>
      </c>
      <c r="AR482" s="263">
        <f t="shared" si="403"/>
        <v>1.0963192455970205</v>
      </c>
      <c r="AT482" s="242">
        <f t="shared" si="404"/>
        <v>0.11718079846404494</v>
      </c>
      <c r="AU482" s="263">
        <f t="shared" si="405"/>
        <v>2.6716453469619736</v>
      </c>
      <c r="AV482" s="282">
        <f t="shared" si="406"/>
        <v>158.33777290282478</v>
      </c>
      <c r="AW482" s="243">
        <f t="shared" si="407"/>
        <v>0.26844591805029566</v>
      </c>
      <c r="AX482" s="243">
        <f t="shared" si="408"/>
        <v>16.720893675683811</v>
      </c>
      <c r="AY482" s="264">
        <f t="shared" si="409"/>
        <v>1.439068061191674E-5</v>
      </c>
      <c r="AZ482" s="264">
        <f t="shared" si="410"/>
        <v>14034.943738616172</v>
      </c>
      <c r="BA482" s="245">
        <f t="shared" si="411"/>
        <v>4.3680139910863891E-2</v>
      </c>
      <c r="BB482" s="264">
        <f t="shared" si="412"/>
        <v>43.764728056477196</v>
      </c>
      <c r="BC482" s="246">
        <f t="shared" si="413"/>
        <v>1.0537081687728254</v>
      </c>
      <c r="BD482" s="263">
        <f t="shared" si="414"/>
        <v>3.1925642628086226E-2</v>
      </c>
      <c r="BE482" s="263">
        <f t="shared" si="444"/>
        <v>1.0719640024425086</v>
      </c>
      <c r="BF482" s="263">
        <f t="shared" si="445"/>
        <v>1.0220789304545392</v>
      </c>
      <c r="BG482" s="235">
        <f t="shared" si="415"/>
        <v>49.896369971328305</v>
      </c>
      <c r="BH482" s="235">
        <f t="shared" si="416"/>
        <v>352.33426438631346</v>
      </c>
      <c r="BI482" s="263">
        <f t="shared" si="417"/>
        <v>5.0044743983340325</v>
      </c>
      <c r="BJ482" s="247">
        <f t="shared" si="505"/>
        <v>218.92856859670158</v>
      </c>
      <c r="BK482" s="248">
        <f t="shared" si="446"/>
        <v>1.4793085659595837</v>
      </c>
      <c r="BL482" s="94">
        <f t="shared" si="447"/>
        <v>1.1492891335758109E-2</v>
      </c>
      <c r="BM482" s="249">
        <f t="shared" si="448"/>
        <v>-8.333652526085239E-2</v>
      </c>
      <c r="BN482" s="247">
        <f t="shared" si="449"/>
        <v>219.92856859670158</v>
      </c>
      <c r="BO482" s="248">
        <f t="shared" si="450"/>
        <v>1.4701160023505759</v>
      </c>
      <c r="BP482" s="94">
        <f t="shared" si="451"/>
        <v>1.1448298901859303E-2</v>
      </c>
      <c r="BQ482" s="249">
        <f t="shared" si="452"/>
        <v>-7.0039233765869166E-2</v>
      </c>
      <c r="BR482" s="247">
        <f t="shared" si="453"/>
        <v>288.78330898514042</v>
      </c>
      <c r="BS482" s="248">
        <f t="shared" si="454"/>
        <v>0.83716442154814241</v>
      </c>
      <c r="BT482" s="94">
        <f t="shared" si="455"/>
        <v>7.6610543608263242E-3</v>
      </c>
      <c r="BU482" s="249">
        <f t="shared" si="456"/>
        <v>0.84554231999059681</v>
      </c>
      <c r="BV482" s="283">
        <f t="shared" si="457"/>
        <v>0.84518389794978277</v>
      </c>
      <c r="BW482" s="282">
        <f t="shared" si="458"/>
        <v>2910.2052567495007</v>
      </c>
      <c r="BX482" s="265">
        <f t="shared" si="418"/>
        <v>225.76205458382546</v>
      </c>
      <c r="BY482" s="265">
        <f t="shared" si="419"/>
        <v>224.80490841512028</v>
      </c>
      <c r="BZ482" s="284">
        <f t="shared" si="506"/>
        <v>192.5256625973866</v>
      </c>
      <c r="CA482" s="248">
        <f t="shared" si="459"/>
        <v>1.7220189588209369</v>
      </c>
      <c r="CB482" s="94">
        <f t="shared" si="460"/>
        <v>1.2575513586523394E-2</v>
      </c>
      <c r="CC482" s="249">
        <f t="shared" si="461"/>
        <v>2.0751854656378388</v>
      </c>
      <c r="CD482" s="247">
        <f t="shared" si="462"/>
        <v>193.5256625973866</v>
      </c>
      <c r="CE482" s="248">
        <f t="shared" si="463"/>
        <v>1.7128263952119291</v>
      </c>
      <c r="CF482" s="94">
        <f t="shared" si="464"/>
        <v>1.2537716266782267E-2</v>
      </c>
      <c r="CG482" s="249">
        <f t="shared" si="465"/>
        <v>2.1358848970498903</v>
      </c>
      <c r="CH482" s="247">
        <f t="shared" si="466"/>
        <v>187.65519206073006</v>
      </c>
      <c r="CI482" s="248">
        <f t="shared" si="467"/>
        <v>1.76679106903495</v>
      </c>
      <c r="CJ482" s="94">
        <f t="shared" si="468"/>
        <v>1.2756152514761792E-2</v>
      </c>
      <c r="CK482" s="249">
        <f t="shared" si="469"/>
        <v>1.7795506733536373</v>
      </c>
      <c r="CL482" s="249">
        <f t="shared" si="470"/>
        <v>1.7795489474516746</v>
      </c>
      <c r="CM482" s="249">
        <f t="shared" si="471"/>
        <v>2767.615851918596</v>
      </c>
      <c r="CN482" s="265">
        <f t="shared" si="420"/>
        <v>157.14434408167506</v>
      </c>
      <c r="CO482" s="265">
        <f t="shared" si="421"/>
        <v>158.55625943336062</v>
      </c>
      <c r="CP482" s="94">
        <f t="shared" si="472"/>
        <v>3.7886652376176645E-2</v>
      </c>
      <c r="CQ482" s="157">
        <f t="shared" si="422"/>
        <v>5.5847814884693001</v>
      </c>
      <c r="CR482" s="285">
        <f t="shared" si="423"/>
        <v>8.2474027121488973</v>
      </c>
      <c r="CS482" s="157">
        <f t="shared" si="424"/>
        <v>18.484690538084692</v>
      </c>
      <c r="CT482" s="143">
        <f t="shared" si="425"/>
        <v>370.61070847454783</v>
      </c>
      <c r="CU482" s="247">
        <f t="shared" si="473"/>
        <v>288.78330898514042</v>
      </c>
      <c r="CV482" s="248">
        <f t="shared" si="474"/>
        <v>0.75220357476605948</v>
      </c>
      <c r="CW482" s="94">
        <f t="shared" si="475"/>
        <v>6.7208409842418083E-3</v>
      </c>
      <c r="CX482" s="249">
        <f t="shared" si="476"/>
        <v>0.85073944176235894</v>
      </c>
      <c r="CY482" s="247">
        <f t="shared" si="477"/>
        <v>289.78330898514042</v>
      </c>
      <c r="CZ482" s="248">
        <f t="shared" si="478"/>
        <v>0.74301101115705181</v>
      </c>
      <c r="DA482" s="94">
        <f t="shared" si="479"/>
        <v>6.6544518621005772E-3</v>
      </c>
      <c r="DB482" s="249">
        <f t="shared" si="480"/>
        <v>0.86403673325734209</v>
      </c>
      <c r="DC482" s="247">
        <f t="shared" si="481"/>
        <v>284.71281634941664</v>
      </c>
      <c r="DD482" s="248">
        <f t="shared" si="482"/>
        <v>0.78962183723994761</v>
      </c>
      <c r="DE482" s="94">
        <f t="shared" si="483"/>
        <v>6.9874418276985551E-3</v>
      </c>
      <c r="DF482" s="249">
        <f t="shared" si="484"/>
        <v>0.79661291465695716</v>
      </c>
      <c r="DG482" s="283">
        <f t="shared" si="485"/>
        <v>0.79661109686230169</v>
      </c>
      <c r="DH482" s="282">
        <f t="shared" si="486"/>
        <v>2902.4505863265736</v>
      </c>
      <c r="DI482" s="265">
        <f t="shared" si="426"/>
        <v>222.02775953018528</v>
      </c>
      <c r="DJ482" s="265">
        <f t="shared" si="427"/>
        <v>221.13232348895036</v>
      </c>
      <c r="DK482" s="284">
        <f t="shared" si="487"/>
        <v>187.65519206073006</v>
      </c>
      <c r="DL482" s="248">
        <f t="shared" si="488"/>
        <v>1.76679106903495</v>
      </c>
      <c r="DM482" s="94">
        <f t="shared" si="489"/>
        <v>1.2756152514761792E-2</v>
      </c>
      <c r="DN482" s="249">
        <f t="shared" si="490"/>
        <v>1.7795506733536373</v>
      </c>
      <c r="DO482" s="247">
        <f t="shared" si="491"/>
        <v>188.65519206073006</v>
      </c>
      <c r="DP482" s="248">
        <f t="shared" si="492"/>
        <v>1.7575985054259422</v>
      </c>
      <c r="DQ482" s="94">
        <f t="shared" si="493"/>
        <v>1.2719527920238793E-2</v>
      </c>
      <c r="DR482" s="249">
        <f t="shared" si="494"/>
        <v>1.840250104765689</v>
      </c>
      <c r="DS482" s="247">
        <f t="shared" si="495"/>
        <v>187.6551426989102</v>
      </c>
      <c r="DT482" s="248">
        <f t="shared" si="496"/>
        <v>1.7667915227966189</v>
      </c>
      <c r="DU482" s="94">
        <f t="shared" si="497"/>
        <v>1.2756154316741979E-2</v>
      </c>
      <c r="DV482" s="249">
        <f t="shared" si="498"/>
        <v>1.7795476771192382</v>
      </c>
      <c r="DW482" s="249">
        <f t="shared" si="499"/>
        <v>1.7795476771162995</v>
      </c>
      <c r="DX482" s="249">
        <f t="shared" si="500"/>
        <v>2767.6208991008862</v>
      </c>
      <c r="DY482" s="265">
        <f t="shared" si="428"/>
        <v>157.14677419414554</v>
      </c>
      <c r="DZ482" s="265">
        <f t="shared" si="429"/>
        <v>158.55868279280287</v>
      </c>
      <c r="EA482" s="94">
        <f t="shared" si="501"/>
        <v>3.5276620042778026E-2</v>
      </c>
      <c r="EB482" s="157">
        <f t="shared" si="430"/>
        <v>5.348930177802238</v>
      </c>
      <c r="EC482" s="285">
        <f t="shared" si="502"/>
        <v>7.9603655718265554</v>
      </c>
      <c r="ED482" s="157">
        <f t="shared" si="503"/>
        <v>17.841361614182436</v>
      </c>
      <c r="EE482" s="143">
        <f t="shared" si="431"/>
        <v>370.93237293649895</v>
      </c>
    </row>
    <row r="483" spans="1:135" ht="12" customHeight="1" x14ac:dyDescent="0.2">
      <c r="A483" s="200" t="s">
        <v>442</v>
      </c>
      <c r="B483" s="236">
        <f t="shared" si="432"/>
        <v>225.76205458382546</v>
      </c>
      <c r="C483" s="237">
        <f t="shared" si="433"/>
        <v>4.9747855342676814</v>
      </c>
      <c r="D483" s="236">
        <f t="shared" si="434"/>
        <v>2910.2052567495007</v>
      </c>
      <c r="E483" s="236">
        <f t="shared" si="504"/>
        <v>157.14434408167506</v>
      </c>
      <c r="F483" s="237">
        <f t="shared" si="435"/>
        <v>4.9920768392635422</v>
      </c>
      <c r="G483" s="238">
        <f t="shared" si="436"/>
        <v>2767.6208991008862</v>
      </c>
      <c r="H483" s="118">
        <v>0</v>
      </c>
      <c r="I483" s="239">
        <f t="shared" si="437"/>
        <v>362.01169212940772</v>
      </c>
      <c r="J483" s="154">
        <f t="shared" si="438"/>
        <v>0.13341935483870973</v>
      </c>
      <c r="K483" s="149">
        <f t="shared" si="376"/>
        <v>0.18907368641721478</v>
      </c>
      <c r="L483" s="240">
        <f t="shared" si="377"/>
        <v>362.01169212940772</v>
      </c>
      <c r="M483" s="154">
        <f t="shared" si="378"/>
        <v>0.53661077164205151</v>
      </c>
      <c r="N483" s="241">
        <f t="shared" si="379"/>
        <v>362.01169212940772</v>
      </c>
      <c r="O483" s="150">
        <f t="shared" si="380"/>
        <v>0.74907042763347076</v>
      </c>
      <c r="P483" s="150">
        <f t="shared" si="381"/>
        <v>4.1451491058486667</v>
      </c>
      <c r="Q483" s="152">
        <f t="shared" si="382"/>
        <v>3.1184131286984483E-5</v>
      </c>
      <c r="R483" s="152">
        <f t="shared" si="439"/>
        <v>541.15348953543594</v>
      </c>
      <c r="S483" s="153">
        <f t="shared" si="383"/>
        <v>0.11826589172499301</v>
      </c>
      <c r="T483" s="154">
        <f t="shared" si="384"/>
        <v>0.87164731535523654</v>
      </c>
      <c r="U483" s="155">
        <f t="shared" si="385"/>
        <v>0.68252007285320682</v>
      </c>
      <c r="V483" s="154">
        <f t="shared" si="386"/>
        <v>4.8326563413227316E-2</v>
      </c>
      <c r="W483" s="154">
        <f t="shared" si="440"/>
        <v>0.38454366365336312</v>
      </c>
      <c r="X483" s="154">
        <f t="shared" si="441"/>
        <v>0.26041265115931828</v>
      </c>
      <c r="Y483" s="154">
        <f t="shared" si="387"/>
        <v>5.8560000000000008</v>
      </c>
      <c r="Z483" s="154">
        <f t="shared" si="388"/>
        <v>37.302025175820994</v>
      </c>
      <c r="AA483" s="154">
        <f t="shared" si="389"/>
        <v>0.74414232842801775</v>
      </c>
      <c r="AB483" s="1"/>
      <c r="AC483" s="242">
        <f t="shared" si="390"/>
        <v>0.11909589406128242</v>
      </c>
      <c r="AD483" s="263">
        <f t="shared" si="391"/>
        <v>2.2090612738974476</v>
      </c>
      <c r="AE483" s="282">
        <f t="shared" si="392"/>
        <v>225.76205458382546</v>
      </c>
      <c r="AF483" s="243">
        <f t="shared" si="393"/>
        <v>0.32465930046596897</v>
      </c>
      <c r="AG483" s="243">
        <f t="shared" si="394"/>
        <v>20.22229908854959</v>
      </c>
      <c r="AH483" s="264">
        <f t="shared" si="395"/>
        <v>1.7188183153682496E-5</v>
      </c>
      <c r="AI483" s="264">
        <f t="shared" si="396"/>
        <v>11750.653977955448</v>
      </c>
      <c r="AJ483" s="245">
        <f t="shared" si="397"/>
        <v>4.4394008093420097E-2</v>
      </c>
      <c r="AK483" s="264">
        <f t="shared" si="398"/>
        <v>53.794219948225511</v>
      </c>
      <c r="AL483" s="246">
        <f t="shared" si="399"/>
        <v>0.98703188982252588</v>
      </c>
      <c r="AM483" s="263">
        <f t="shared" si="400"/>
        <v>3.7276532166896234E-2</v>
      </c>
      <c r="AN483" s="263">
        <f t="shared" si="442"/>
        <v>0.32279821797064112</v>
      </c>
      <c r="AO483" s="263">
        <f t="shared" si="443"/>
        <v>0.21942459093318673</v>
      </c>
      <c r="AP483" s="235">
        <f t="shared" si="401"/>
        <v>9.0530566372871828</v>
      </c>
      <c r="AQ483" s="235">
        <f t="shared" si="402"/>
        <v>74.64092651255622</v>
      </c>
      <c r="AR483" s="263">
        <f t="shared" si="403"/>
        <v>1.0601824561418665</v>
      </c>
      <c r="AT483" s="242">
        <f t="shared" si="404"/>
        <v>0.11714624314886501</v>
      </c>
      <c r="AU483" s="263">
        <f t="shared" si="405"/>
        <v>2.6718660232936813</v>
      </c>
      <c r="AV483" s="282">
        <f t="shared" si="406"/>
        <v>157.14434408167506</v>
      </c>
      <c r="AW483" s="243">
        <f t="shared" si="407"/>
        <v>0.26842374640697941</v>
      </c>
      <c r="AX483" s="243">
        <f t="shared" si="408"/>
        <v>16.719512653788609</v>
      </c>
      <c r="AY483" s="264">
        <f t="shared" si="409"/>
        <v>1.4341185139281398E-5</v>
      </c>
      <c r="AZ483" s="264">
        <f t="shared" si="410"/>
        <v>14083.382285849661</v>
      </c>
      <c r="BA483" s="245">
        <f t="shared" si="411"/>
        <v>4.3667259123042784E-2</v>
      </c>
      <c r="BB483" s="264">
        <f t="shared" si="412"/>
        <v>43.748208748282885</v>
      </c>
      <c r="BC483" s="246">
        <f t="shared" si="413"/>
        <v>1.0551200278240545</v>
      </c>
      <c r="BD483" s="263">
        <f t="shared" si="414"/>
        <v>3.1838344572883856E-2</v>
      </c>
      <c r="BE483" s="263">
        <f t="shared" si="444"/>
        <v>1.0752896739083733</v>
      </c>
      <c r="BF483" s="263">
        <f t="shared" si="445"/>
        <v>1.023134782413988</v>
      </c>
      <c r="BG483" s="235">
        <f t="shared" si="415"/>
        <v>50.112608131398659</v>
      </c>
      <c r="BH483" s="235">
        <f t="shared" si="416"/>
        <v>352.89358690908881</v>
      </c>
      <c r="BI483" s="263">
        <f t="shared" si="417"/>
        <v>5.01241888607926</v>
      </c>
      <c r="BJ483" s="247">
        <f t="shared" si="505"/>
        <v>288.78330898514042</v>
      </c>
      <c r="BK483" s="248">
        <f t="shared" si="446"/>
        <v>0.66093934409799326</v>
      </c>
      <c r="BL483" s="94">
        <f t="shared" si="447"/>
        <v>5.8816972377347711E-3</v>
      </c>
      <c r="BM483" s="249">
        <f t="shared" si="448"/>
        <v>0.8103895043033279</v>
      </c>
      <c r="BN483" s="247">
        <f t="shared" si="449"/>
        <v>289.78330898514042</v>
      </c>
      <c r="BO483" s="248">
        <f t="shared" si="450"/>
        <v>0.65191361779189849</v>
      </c>
      <c r="BP483" s="94">
        <f t="shared" si="451"/>
        <v>5.8153081155935381E-3</v>
      </c>
      <c r="BQ483" s="249">
        <f t="shared" si="452"/>
        <v>0.8232484915133067</v>
      </c>
      <c r="BR483" s="247">
        <f t="shared" si="453"/>
        <v>282.24293307173821</v>
      </c>
      <c r="BS483" s="248">
        <f t="shared" si="454"/>
        <v>0.71997098703133555</v>
      </c>
      <c r="BT483" s="94">
        <f t="shared" si="455"/>
        <v>6.3072454270695875E-3</v>
      </c>
      <c r="BU483" s="249">
        <f t="shared" si="456"/>
        <v>0.72628689408443547</v>
      </c>
      <c r="BV483" s="283">
        <f t="shared" si="457"/>
        <v>0.72628256327142027</v>
      </c>
      <c r="BW483" s="282">
        <f t="shared" si="458"/>
        <v>2911.2179315586909</v>
      </c>
      <c r="BX483" s="265">
        <f t="shared" si="418"/>
        <v>226.24852645478271</v>
      </c>
      <c r="BY483" s="265">
        <f t="shared" si="419"/>
        <v>225.52671743495148</v>
      </c>
      <c r="BZ483" s="284">
        <f t="shared" si="506"/>
        <v>187.65519206073006</v>
      </c>
      <c r="CA483" s="248">
        <f t="shared" si="459"/>
        <v>1.5736940493084619</v>
      </c>
      <c r="CB483" s="94">
        <f t="shared" si="460"/>
        <v>1.0976795391670237E-2</v>
      </c>
      <c r="CC483" s="249">
        <f t="shared" si="461"/>
        <v>1.8549311174461691</v>
      </c>
      <c r="CD483" s="247">
        <f t="shared" si="462"/>
        <v>188.65519206073006</v>
      </c>
      <c r="CE483" s="248">
        <f t="shared" si="463"/>
        <v>1.564668323002367</v>
      </c>
      <c r="CF483" s="94">
        <f t="shared" si="464"/>
        <v>1.0940170797147238E-2</v>
      </c>
      <c r="CG483" s="249">
        <f t="shared" si="465"/>
        <v>1.9157269078063563</v>
      </c>
      <c r="CH483" s="247">
        <f t="shared" si="466"/>
        <v>183.78649089192768</v>
      </c>
      <c r="CI483" s="248">
        <f t="shared" si="467"/>
        <v>1.6086118872181407</v>
      </c>
      <c r="CJ483" s="94">
        <f t="shared" si="468"/>
        <v>1.111625528564756E-2</v>
      </c>
      <c r="CK483" s="249">
        <f t="shared" si="469"/>
        <v>1.6197303722214489</v>
      </c>
      <c r="CL483" s="249">
        <f t="shared" si="470"/>
        <v>1.6197292573626187</v>
      </c>
      <c r="CM483" s="249">
        <f t="shared" si="471"/>
        <v>2765.357420972311</v>
      </c>
      <c r="CN483" s="265">
        <f t="shared" si="420"/>
        <v>156.05821746852683</v>
      </c>
      <c r="CO483" s="265">
        <f t="shared" si="421"/>
        <v>157.30723845094371</v>
      </c>
      <c r="CP483" s="94">
        <f t="shared" si="472"/>
        <v>3.2947157002474484E-2</v>
      </c>
      <c r="CQ483" s="157">
        <f t="shared" si="422"/>
        <v>5.0363996573318</v>
      </c>
      <c r="CR483" s="285">
        <f t="shared" si="423"/>
        <v>7.4153597498271431</v>
      </c>
      <c r="CS483" s="157">
        <f t="shared" si="424"/>
        <v>16.61985415144224</v>
      </c>
      <c r="CT483" s="143">
        <f t="shared" si="425"/>
        <v>353.70176505368659</v>
      </c>
      <c r="CU483" s="247">
        <f t="shared" si="473"/>
        <v>282.24293307173821</v>
      </c>
      <c r="CV483" s="248">
        <f t="shared" si="474"/>
        <v>0.64496785962227088</v>
      </c>
      <c r="CW483" s="94">
        <f t="shared" si="475"/>
        <v>5.528062771790904E-3</v>
      </c>
      <c r="CX483" s="249">
        <f t="shared" si="476"/>
        <v>0.72931309147183887</v>
      </c>
      <c r="CY483" s="247">
        <f t="shared" si="477"/>
        <v>283.24293307173821</v>
      </c>
      <c r="CZ483" s="248">
        <f t="shared" si="478"/>
        <v>0.63594213331617622</v>
      </c>
      <c r="DA483" s="94">
        <f t="shared" si="479"/>
        <v>5.463963483890037E-3</v>
      </c>
      <c r="DB483" s="249">
        <f t="shared" si="480"/>
        <v>0.74217207868181767</v>
      </c>
      <c r="DC483" s="247">
        <f t="shared" si="481"/>
        <v>278.65197943876973</v>
      </c>
      <c r="DD483" s="248">
        <f t="shared" si="482"/>
        <v>0.67737882429132068</v>
      </c>
      <c r="DE483" s="94">
        <f t="shared" si="483"/>
        <v>5.7554020946458959E-3</v>
      </c>
      <c r="DF483" s="249">
        <f t="shared" si="484"/>
        <v>0.68313706463387047</v>
      </c>
      <c r="DG483" s="283">
        <f t="shared" si="485"/>
        <v>0.68313564550991845</v>
      </c>
      <c r="DH483" s="282">
        <f t="shared" si="486"/>
        <v>2903.403100257724</v>
      </c>
      <c r="DI483" s="265">
        <f t="shared" si="426"/>
        <v>222.48524129925991</v>
      </c>
      <c r="DJ483" s="265">
        <f t="shared" si="427"/>
        <v>221.80878239410515</v>
      </c>
      <c r="DK483" s="284">
        <f t="shared" si="487"/>
        <v>183.78649089192768</v>
      </c>
      <c r="DL483" s="248">
        <f t="shared" si="488"/>
        <v>1.6086118872181407</v>
      </c>
      <c r="DM483" s="94">
        <f t="shared" si="489"/>
        <v>1.111625528564756E-2</v>
      </c>
      <c r="DN483" s="249">
        <f t="shared" si="490"/>
        <v>1.6197303722214489</v>
      </c>
      <c r="DO483" s="247">
        <f t="shared" si="491"/>
        <v>184.78649089192768</v>
      </c>
      <c r="DP483" s="248">
        <f t="shared" si="492"/>
        <v>1.5995861609120461</v>
      </c>
      <c r="DQ483" s="94">
        <f t="shared" si="493"/>
        <v>1.1080544727262102E-2</v>
      </c>
      <c r="DR483" s="249">
        <f t="shared" si="494"/>
        <v>1.6805261625816361</v>
      </c>
      <c r="DS483" s="247">
        <f t="shared" si="495"/>
        <v>183.78645897371752</v>
      </c>
      <c r="DT483" s="248">
        <f t="shared" si="496"/>
        <v>1.6086121753031699</v>
      </c>
      <c r="DU483" s="94">
        <f t="shared" si="497"/>
        <v>1.1116256421728426E-2</v>
      </c>
      <c r="DV483" s="249">
        <f t="shared" si="498"/>
        <v>1.6197284317286347</v>
      </c>
      <c r="DW483" s="249">
        <f t="shared" si="499"/>
        <v>1.6197284317267666</v>
      </c>
      <c r="DX483" s="249">
        <f t="shared" si="500"/>
        <v>2765.3624693058068</v>
      </c>
      <c r="DY483" s="265">
        <f t="shared" si="428"/>
        <v>156.06064812508626</v>
      </c>
      <c r="DZ483" s="265">
        <f t="shared" si="429"/>
        <v>157.30966545894455</v>
      </c>
      <c r="EA483" s="94">
        <f t="shared" si="501"/>
        <v>3.0784145951420861E-2</v>
      </c>
      <c r="EB483" s="157">
        <f t="shared" si="430"/>
        <v>4.8281909756442367</v>
      </c>
      <c r="EC483" s="285">
        <f t="shared" si="502"/>
        <v>7.1618391988342101</v>
      </c>
      <c r="ED483" s="157">
        <f t="shared" si="503"/>
        <v>16.051645092941197</v>
      </c>
      <c r="EE483" s="143">
        <f t="shared" si="431"/>
        <v>353.98586958293714</v>
      </c>
    </row>
    <row r="484" spans="1:135" ht="12" customHeight="1" x14ac:dyDescent="0.2">
      <c r="A484" s="200" t="s">
        <v>442</v>
      </c>
      <c r="B484" s="236">
        <f t="shared" si="432"/>
        <v>226.24852645478271</v>
      </c>
      <c r="C484" s="237">
        <f t="shared" si="433"/>
        <v>4.974247592068199</v>
      </c>
      <c r="D484" s="236">
        <f t="shared" si="434"/>
        <v>2911.2179315586909</v>
      </c>
      <c r="E484" s="236">
        <f t="shared" si="504"/>
        <v>156.05821746852683</v>
      </c>
      <c r="F484" s="237">
        <f t="shared" si="435"/>
        <v>4.9925143213510248</v>
      </c>
      <c r="G484" s="238">
        <f t="shared" si="436"/>
        <v>2765.3624693058068</v>
      </c>
      <c r="H484" s="118">
        <v>0</v>
      </c>
      <c r="I484" s="239">
        <f t="shared" si="437"/>
        <v>345.96004703646651</v>
      </c>
      <c r="J484" s="154">
        <f t="shared" si="438"/>
        <v>0.14554838709677426</v>
      </c>
      <c r="K484" s="149">
        <f t="shared" si="376"/>
        <v>0.18596745116125787</v>
      </c>
      <c r="L484" s="240">
        <f t="shared" si="377"/>
        <v>345.96004703646651</v>
      </c>
      <c r="M484" s="154">
        <f t="shared" si="378"/>
        <v>0.55188884059793819</v>
      </c>
      <c r="N484" s="241">
        <f t="shared" si="379"/>
        <v>345.96004703646651</v>
      </c>
      <c r="O484" s="150">
        <f t="shared" si="380"/>
        <v>0.72833373429174564</v>
      </c>
      <c r="P484" s="150">
        <f t="shared" si="381"/>
        <v>4.0303979653781088</v>
      </c>
      <c r="Q484" s="152">
        <f t="shared" si="382"/>
        <v>3.0671816485990585E-5</v>
      </c>
      <c r="R484" s="152">
        <f t="shared" si="439"/>
        <v>550.19243714472202</v>
      </c>
      <c r="S484" s="153">
        <f t="shared" si="383"/>
        <v>0.11632293662947153</v>
      </c>
      <c r="T484" s="154">
        <f t="shared" si="384"/>
        <v>0.83359368797678501</v>
      </c>
      <c r="U484" s="155">
        <f t="shared" si="385"/>
        <v>0.68216801541205452</v>
      </c>
      <c r="V484" s="154">
        <f t="shared" si="386"/>
        <v>4.7522873595068835E-2</v>
      </c>
      <c r="W484" s="154">
        <f t="shared" si="440"/>
        <v>0.37355064038367125</v>
      </c>
      <c r="X484" s="154">
        <f t="shared" si="441"/>
        <v>0.2526273844170604</v>
      </c>
      <c r="Y484" s="154">
        <f t="shared" si="387"/>
        <v>5.8560000000000008</v>
      </c>
      <c r="Z484" s="154">
        <f t="shared" si="388"/>
        <v>36.68167777859032</v>
      </c>
      <c r="AA484" s="154">
        <f t="shared" si="389"/>
        <v>0.73176694788410235</v>
      </c>
      <c r="AB484" s="1"/>
      <c r="AC484" s="242">
        <f t="shared" si="390"/>
        <v>0.11910946050842801</v>
      </c>
      <c r="AD484" s="263">
        <f t="shared" si="391"/>
        <v>2.2064549141236194</v>
      </c>
      <c r="AE484" s="282">
        <f t="shared" si="392"/>
        <v>226.24852645478271</v>
      </c>
      <c r="AF484" s="243">
        <f t="shared" si="393"/>
        <v>0.32504280204377928</v>
      </c>
      <c r="AG484" s="243">
        <f t="shared" si="394"/>
        <v>20.246186541015234</v>
      </c>
      <c r="AH484" s="264">
        <f t="shared" si="395"/>
        <v>1.72083758873177E-5</v>
      </c>
      <c r="AI484" s="264">
        <f t="shared" si="396"/>
        <v>11736.865470116587</v>
      </c>
      <c r="AJ484" s="245">
        <f t="shared" si="397"/>
        <v>4.4399065102052743E-2</v>
      </c>
      <c r="AK484" s="264">
        <f t="shared" si="398"/>
        <v>53.863899046205482</v>
      </c>
      <c r="AL484" s="246">
        <f t="shared" si="399"/>
        <v>0.98663898462273059</v>
      </c>
      <c r="AM484" s="263">
        <f t="shared" si="400"/>
        <v>3.7317945718935652E-2</v>
      </c>
      <c r="AN484" s="263">
        <f t="shared" si="442"/>
        <v>0.31363514964682759</v>
      </c>
      <c r="AO484" s="263">
        <f t="shared" si="443"/>
        <v>0.21284139808487906</v>
      </c>
      <c r="AP484" s="235">
        <f t="shared" si="401"/>
        <v>8.7718046031509882</v>
      </c>
      <c r="AQ484" s="235">
        <f t="shared" si="402"/>
        <v>72.402399371294905</v>
      </c>
      <c r="AR484" s="263">
        <f t="shared" si="403"/>
        <v>1.0283869343866074</v>
      </c>
      <c r="AT484" s="242">
        <f t="shared" si="404"/>
        <v>0.11711477368606256</v>
      </c>
      <c r="AU484" s="263">
        <f t="shared" si="405"/>
        <v>2.6720866152100209</v>
      </c>
      <c r="AV484" s="282">
        <f t="shared" si="406"/>
        <v>156.05821746852683</v>
      </c>
      <c r="AW484" s="243">
        <f t="shared" si="407"/>
        <v>0.26840158690501048</v>
      </c>
      <c r="AX484" s="243">
        <f t="shared" si="408"/>
        <v>16.718132388150671</v>
      </c>
      <c r="AY484" s="264">
        <f t="shared" si="409"/>
        <v>1.4296140485313266E-5</v>
      </c>
      <c r="AZ484" s="264">
        <f t="shared" si="410"/>
        <v>14127.756575709132</v>
      </c>
      <c r="BA484" s="245">
        <f t="shared" si="411"/>
        <v>4.3655528612957954E-2</v>
      </c>
      <c r="BB484" s="264">
        <f t="shared" si="412"/>
        <v>43.732845865125554</v>
      </c>
      <c r="BC484" s="246">
        <f t="shared" si="413"/>
        <v>1.0564127926421243</v>
      </c>
      <c r="BD484" s="263">
        <f t="shared" si="414"/>
        <v>3.1759141184934281E-2</v>
      </c>
      <c r="BE484" s="263">
        <f t="shared" si="444"/>
        <v>1.0790150233008293</v>
      </c>
      <c r="BF484" s="263">
        <f t="shared" si="445"/>
        <v>1.0243223276316091</v>
      </c>
      <c r="BG484" s="235">
        <f t="shared" si="415"/>
        <v>50.321838391779991</v>
      </c>
      <c r="BH484" s="235">
        <f t="shared" si="416"/>
        <v>353.48543974387047</v>
      </c>
      <c r="BI484" s="263">
        <f t="shared" si="417"/>
        <v>5.0208254268521397</v>
      </c>
      <c r="BJ484" s="247">
        <f t="shared" si="505"/>
        <v>282.24293307173821</v>
      </c>
      <c r="BK484" s="248">
        <f t="shared" si="446"/>
        <v>0.56552920429826603</v>
      </c>
      <c r="BL484" s="94">
        <f t="shared" si="447"/>
        <v>4.8295158314829749E-3</v>
      </c>
      <c r="BM484" s="249">
        <f t="shared" si="448"/>
        <v>0.69843717669408512</v>
      </c>
      <c r="BN484" s="247">
        <f t="shared" si="449"/>
        <v>283.24293307173821</v>
      </c>
      <c r="BO484" s="248">
        <f t="shared" si="450"/>
        <v>0.55665357938199422</v>
      </c>
      <c r="BP484" s="94">
        <f t="shared" si="451"/>
        <v>4.7654165435821096E-3</v>
      </c>
      <c r="BQ484" s="249">
        <f t="shared" si="452"/>
        <v>0.71091051499503233</v>
      </c>
      <c r="BR484" s="247">
        <f t="shared" si="453"/>
        <v>276.26160945052743</v>
      </c>
      <c r="BS484" s="248">
        <f t="shared" si="454"/>
        <v>0.61861718926296883</v>
      </c>
      <c r="BT484" s="94">
        <f t="shared" si="455"/>
        <v>5.2057459640742791E-3</v>
      </c>
      <c r="BU484" s="249">
        <f t="shared" si="456"/>
        <v>0.62383010367927627</v>
      </c>
      <c r="BV484" s="283">
        <f t="shared" si="457"/>
        <v>0.6238265194531597</v>
      </c>
      <c r="BW484" s="282">
        <f t="shared" si="458"/>
        <v>2912.0877492212676</v>
      </c>
      <c r="BX484" s="265">
        <f t="shared" si="418"/>
        <v>226.66620738355414</v>
      </c>
      <c r="BY484" s="265">
        <f t="shared" si="419"/>
        <v>226.09646240925281</v>
      </c>
      <c r="BZ484" s="284">
        <f t="shared" si="506"/>
        <v>183.78649089192768</v>
      </c>
      <c r="CA484" s="248">
        <f t="shared" si="459"/>
        <v>1.4393916556768562</v>
      </c>
      <c r="CB484" s="94">
        <f t="shared" si="460"/>
        <v>9.6385256900609461E-3</v>
      </c>
      <c r="CC484" s="249">
        <f t="shared" si="461"/>
        <v>1.6885895617045725</v>
      </c>
      <c r="CD484" s="247">
        <f t="shared" si="462"/>
        <v>184.78649089192768</v>
      </c>
      <c r="CE484" s="248">
        <f t="shared" si="463"/>
        <v>1.4305160307605844</v>
      </c>
      <c r="CF484" s="94">
        <f t="shared" si="464"/>
        <v>9.6028151316754889E-3</v>
      </c>
      <c r="CG484" s="249">
        <f t="shared" si="465"/>
        <v>1.7494873152689727</v>
      </c>
      <c r="CH484" s="247">
        <f t="shared" si="466"/>
        <v>180.35485493112</v>
      </c>
      <c r="CI484" s="248">
        <f t="shared" si="467"/>
        <v>1.4698495693141749</v>
      </c>
      <c r="CJ484" s="94">
        <f t="shared" si="468"/>
        <v>9.7593001031648901E-3</v>
      </c>
      <c r="CK484" s="249">
        <f t="shared" si="469"/>
        <v>1.4796106406405725</v>
      </c>
      <c r="CL484" s="249">
        <f t="shared" si="470"/>
        <v>1.4796097550289562</v>
      </c>
      <c r="CM484" s="249">
        <f t="shared" si="471"/>
        <v>2763.2943623197657</v>
      </c>
      <c r="CN484" s="265">
        <f t="shared" si="420"/>
        <v>155.06616636183756</v>
      </c>
      <c r="CO484" s="265">
        <f t="shared" si="421"/>
        <v>156.18670240639062</v>
      </c>
      <c r="CP484" s="94">
        <f t="shared" si="472"/>
        <v>2.884497964512605E-2</v>
      </c>
      <c r="CQ484" s="157">
        <f t="shared" si="422"/>
        <v>4.5571501177499512</v>
      </c>
      <c r="CR484" s="285">
        <f t="shared" si="423"/>
        <v>6.6894322574888099</v>
      </c>
      <c r="CS484" s="157">
        <f t="shared" si="424"/>
        <v>14.992851625035275</v>
      </c>
      <c r="CT484" s="143">
        <f t="shared" si="425"/>
        <v>338.46362122394885</v>
      </c>
      <c r="CU484" s="247">
        <f t="shared" si="473"/>
        <v>276.26160945052743</v>
      </c>
      <c r="CV484" s="248">
        <f t="shared" si="474"/>
        <v>0.55208172553840473</v>
      </c>
      <c r="CW484" s="94">
        <f t="shared" si="475"/>
        <v>4.5538543155409783E-3</v>
      </c>
      <c r="CX484" s="249">
        <f t="shared" si="476"/>
        <v>0.62572684996258132</v>
      </c>
      <c r="CY484" s="247">
        <f t="shared" si="477"/>
        <v>277.26160945052743</v>
      </c>
      <c r="CZ484" s="248">
        <f t="shared" si="478"/>
        <v>0.54320610062213304</v>
      </c>
      <c r="DA484" s="94">
        <f t="shared" si="479"/>
        <v>4.4918024855843371E-3</v>
      </c>
      <c r="DB484" s="249">
        <f t="shared" si="480"/>
        <v>0.63820018826352853</v>
      </c>
      <c r="DC484" s="247">
        <f t="shared" si="481"/>
        <v>273.034706384213</v>
      </c>
      <c r="DD484" s="248">
        <f t="shared" si="482"/>
        <v>0.58072250679617876</v>
      </c>
      <c r="DE484" s="94">
        <f t="shared" si="483"/>
        <v>4.7517906802094804E-3</v>
      </c>
      <c r="DF484" s="249">
        <f t="shared" si="484"/>
        <v>0.58547659635207727</v>
      </c>
      <c r="DG484" s="283">
        <f t="shared" si="485"/>
        <v>0.5854754469142327</v>
      </c>
      <c r="DH484" s="282">
        <f t="shared" si="486"/>
        <v>2904.2194440149233</v>
      </c>
      <c r="DI484" s="265">
        <f t="shared" si="426"/>
        <v>222.87715197234294</v>
      </c>
      <c r="DJ484" s="265">
        <f t="shared" si="427"/>
        <v>222.34296718322406</v>
      </c>
      <c r="DK484" s="284">
        <f t="shared" si="487"/>
        <v>180.35485493112</v>
      </c>
      <c r="DL484" s="248">
        <f t="shared" si="488"/>
        <v>1.4698495693141749</v>
      </c>
      <c r="DM484" s="94">
        <f t="shared" si="489"/>
        <v>9.7593001031648901E-3</v>
      </c>
      <c r="DN484" s="249">
        <f t="shared" si="490"/>
        <v>1.4796106406405725</v>
      </c>
      <c r="DO484" s="247">
        <f t="shared" si="491"/>
        <v>181.35485493112</v>
      </c>
      <c r="DP484" s="248">
        <f t="shared" si="492"/>
        <v>1.4609739443979031</v>
      </c>
      <c r="DQ484" s="94">
        <f t="shared" si="493"/>
        <v>9.7243874792324221E-3</v>
      </c>
      <c r="DR484" s="249">
        <f t="shared" si="494"/>
        <v>1.5405083942049727</v>
      </c>
      <c r="DS484" s="247">
        <f t="shared" si="495"/>
        <v>180.35482955844284</v>
      </c>
      <c r="DT484" s="248">
        <f t="shared" si="496"/>
        <v>1.4698497945125404</v>
      </c>
      <c r="DU484" s="94">
        <f t="shared" si="497"/>
        <v>9.7593009860660329E-3</v>
      </c>
      <c r="DV484" s="249">
        <f t="shared" si="498"/>
        <v>1.4796090955015317</v>
      </c>
      <c r="DW484" s="249">
        <f t="shared" si="499"/>
        <v>1.4796090955000691</v>
      </c>
      <c r="DX484" s="249">
        <f t="shared" si="500"/>
        <v>2763.2994115728598</v>
      </c>
      <c r="DY484" s="265">
        <f t="shared" si="428"/>
        <v>155.06859745097205</v>
      </c>
      <c r="DZ484" s="265">
        <f t="shared" si="429"/>
        <v>156.1891314549583</v>
      </c>
      <c r="EA484" s="94">
        <f t="shared" si="501"/>
        <v>2.7035328428797613E-2</v>
      </c>
      <c r="EB484" s="157">
        <f t="shared" si="430"/>
        <v>4.3724476704505619</v>
      </c>
      <c r="EC484" s="285">
        <f t="shared" si="502"/>
        <v>6.464567541295124</v>
      </c>
      <c r="ED484" s="157">
        <f t="shared" si="503"/>
        <v>14.488868148437037</v>
      </c>
      <c r="EE484" s="143">
        <f t="shared" si="431"/>
        <v>338.71561296224797</v>
      </c>
    </row>
    <row r="485" spans="1:135" ht="12" customHeight="1" x14ac:dyDescent="0.2">
      <c r="A485" s="200" t="s">
        <v>442</v>
      </c>
      <c r="B485" s="236">
        <f t="shared" si="432"/>
        <v>226.66620738355414</v>
      </c>
      <c r="C485" s="237">
        <f t="shared" si="433"/>
        <v>4.973708953077737</v>
      </c>
      <c r="D485" s="236">
        <f t="shared" si="434"/>
        <v>2912.0877492212676</v>
      </c>
      <c r="E485" s="236">
        <f t="shared" si="504"/>
        <v>155.06616636183756</v>
      </c>
      <c r="F485" s="237">
        <f t="shared" si="435"/>
        <v>4.992951649809676</v>
      </c>
      <c r="G485" s="238">
        <f t="shared" si="436"/>
        <v>2763.2994115728598</v>
      </c>
      <c r="H485" s="118">
        <v>0</v>
      </c>
      <c r="I485" s="239">
        <f t="shared" si="437"/>
        <v>331.47117888802944</v>
      </c>
      <c r="J485" s="154">
        <f t="shared" si="438"/>
        <v>0.15767741935483878</v>
      </c>
      <c r="K485" s="149">
        <f t="shared" si="376"/>
        <v>0.18313998844041576</v>
      </c>
      <c r="L485" s="240">
        <f t="shared" si="377"/>
        <v>331.47117888802944</v>
      </c>
      <c r="M485" s="154">
        <f t="shared" si="378"/>
        <v>0.56669938408917842</v>
      </c>
      <c r="N485" s="241">
        <f t="shared" si="379"/>
        <v>331.47117888802944</v>
      </c>
      <c r="O485" s="150">
        <f t="shared" si="380"/>
        <v>0.70929891838983206</v>
      </c>
      <c r="P485" s="150">
        <f t="shared" si="381"/>
        <v>3.9250645451747697</v>
      </c>
      <c r="Q485" s="152">
        <f t="shared" si="382"/>
        <v>3.0205479946165401E-5</v>
      </c>
      <c r="R485" s="152">
        <f t="shared" si="439"/>
        <v>558.68675134973842</v>
      </c>
      <c r="S485" s="153">
        <f t="shared" si="383"/>
        <v>0.11455435419827227</v>
      </c>
      <c r="T485" s="154">
        <f t="shared" si="384"/>
        <v>0.79946514299278237</v>
      </c>
      <c r="U485" s="155">
        <f t="shared" si="385"/>
        <v>0.68190513889978566</v>
      </c>
      <c r="V485" s="154">
        <f t="shared" si="386"/>
        <v>4.6797430455744748E-2</v>
      </c>
      <c r="W485" s="154">
        <f t="shared" si="440"/>
        <v>0.36371576705278968</v>
      </c>
      <c r="X485" s="154">
        <f t="shared" si="441"/>
        <v>0.24569728708221081</v>
      </c>
      <c r="Y485" s="154">
        <f t="shared" si="387"/>
        <v>5.8560000000000008</v>
      </c>
      <c r="Z485" s="154">
        <f t="shared" si="388"/>
        <v>36.121726970267645</v>
      </c>
      <c r="AA485" s="154">
        <f t="shared" si="389"/>
        <v>0.72059642573828397</v>
      </c>
      <c r="AB485" s="1"/>
      <c r="AC485" s="242">
        <f t="shared" si="390"/>
        <v>0.11912110583022247</v>
      </c>
      <c r="AD485" s="263">
        <f t="shared" si="391"/>
        <v>2.2041872412604584</v>
      </c>
      <c r="AE485" s="282">
        <f t="shared" si="392"/>
        <v>226.66620738355414</v>
      </c>
      <c r="AF485" s="243">
        <f t="shared" si="393"/>
        <v>0.32537720682018068</v>
      </c>
      <c r="AG485" s="243">
        <f t="shared" si="394"/>
        <v>20.26701586392489</v>
      </c>
      <c r="AH485" s="264">
        <f t="shared" si="395"/>
        <v>1.7225713307230823E-5</v>
      </c>
      <c r="AI485" s="264">
        <f t="shared" si="396"/>
        <v>11725.052492535342</v>
      </c>
      <c r="AJ485" s="245">
        <f t="shared" si="397"/>
        <v>4.4403405994860749E-2</v>
      </c>
      <c r="AK485" s="264">
        <f t="shared" si="398"/>
        <v>53.924586035211696</v>
      </c>
      <c r="AL485" s="246">
        <f t="shared" si="399"/>
        <v>0.98630204011173017</v>
      </c>
      <c r="AM485" s="263">
        <f t="shared" si="400"/>
        <v>3.7353510299142703E-2</v>
      </c>
      <c r="AN485" s="263">
        <f t="shared" si="442"/>
        <v>0.30543118595694846</v>
      </c>
      <c r="AO485" s="263">
        <f t="shared" si="443"/>
        <v>0.20698362167839918</v>
      </c>
      <c r="AP485" s="235">
        <f t="shared" si="401"/>
        <v>8.5223551181969803</v>
      </c>
      <c r="AQ485" s="235">
        <f t="shared" si="402"/>
        <v>70.41048387165408</v>
      </c>
      <c r="AR485" s="263">
        <f t="shared" si="403"/>
        <v>1.0000942273489877</v>
      </c>
      <c r="AT485" s="242">
        <f t="shared" si="404"/>
        <v>0.11708601239539466</v>
      </c>
      <c r="AU485" s="263">
        <f t="shared" si="405"/>
        <v>2.6723071285433693</v>
      </c>
      <c r="AV485" s="282">
        <f t="shared" si="406"/>
        <v>155.06616636183756</v>
      </c>
      <c r="AW485" s="243">
        <f t="shared" si="407"/>
        <v>0.26837943895353727</v>
      </c>
      <c r="AX485" s="243">
        <f t="shared" si="408"/>
        <v>16.716752841967189</v>
      </c>
      <c r="AY485" s="264">
        <f t="shared" si="409"/>
        <v>1.425499793251629E-5</v>
      </c>
      <c r="AZ485" s="264">
        <f t="shared" si="410"/>
        <v>14168.531886485784</v>
      </c>
      <c r="BA485" s="245">
        <f t="shared" si="411"/>
        <v>4.3644807597084556E-2</v>
      </c>
      <c r="BB485" s="264">
        <f t="shared" si="412"/>
        <v>43.718498002527369</v>
      </c>
      <c r="BC485" s="246">
        <f t="shared" si="413"/>
        <v>1.057600254331444</v>
      </c>
      <c r="BD485" s="263">
        <f t="shared" si="414"/>
        <v>3.1687005934292634E-2</v>
      </c>
      <c r="BE485" s="263">
        <f t="shared" si="444"/>
        <v>1.0832221537369231</v>
      </c>
      <c r="BF485" s="263">
        <f t="shared" si="445"/>
        <v>1.0256697386818394</v>
      </c>
      <c r="BG485" s="235">
        <f t="shared" si="415"/>
        <v>50.527042505570108</v>
      </c>
      <c r="BH485" s="235">
        <f t="shared" si="416"/>
        <v>354.12074133333107</v>
      </c>
      <c r="BI485" s="263">
        <f t="shared" si="417"/>
        <v>5.0298491036870177</v>
      </c>
      <c r="BJ485" s="247">
        <f t="shared" si="505"/>
        <v>276.26160945052743</v>
      </c>
      <c r="BK485" s="248">
        <f t="shared" si="446"/>
        <v>0.48253921676155831</v>
      </c>
      <c r="BL485" s="94">
        <f t="shared" si="447"/>
        <v>3.9670204887719152E-3</v>
      </c>
      <c r="BM485" s="249">
        <f t="shared" si="448"/>
        <v>0.60160091344023425</v>
      </c>
      <c r="BN485" s="247">
        <f t="shared" si="449"/>
        <v>277.26160945052743</v>
      </c>
      <c r="BO485" s="248">
        <f t="shared" si="450"/>
        <v>0.47379907946873262</v>
      </c>
      <c r="BP485" s="94">
        <f t="shared" si="451"/>
        <v>3.9049686588152731E-3</v>
      </c>
      <c r="BQ485" s="249">
        <f t="shared" si="452"/>
        <v>0.61373108858485426</v>
      </c>
      <c r="BR485" s="247">
        <f t="shared" si="453"/>
        <v>270.76320159178692</v>
      </c>
      <c r="BS485" s="248">
        <f t="shared" si="454"/>
        <v>0.53059605633890183</v>
      </c>
      <c r="BT485" s="94">
        <f t="shared" si="455"/>
        <v>4.302201203099148E-3</v>
      </c>
      <c r="BU485" s="249">
        <f t="shared" si="456"/>
        <v>0.534904263097157</v>
      </c>
      <c r="BV485" s="283">
        <f t="shared" si="457"/>
        <v>0.53490126031957896</v>
      </c>
      <c r="BW485" s="282">
        <f t="shared" si="458"/>
        <v>2912.833576064872</v>
      </c>
      <c r="BX485" s="265">
        <f t="shared" si="418"/>
        <v>227.02418184765489</v>
      </c>
      <c r="BY485" s="265">
        <f t="shared" si="419"/>
        <v>226.56032212845383</v>
      </c>
      <c r="BZ485" s="284">
        <f t="shared" si="506"/>
        <v>180.35485493112</v>
      </c>
      <c r="CA485" s="248">
        <f t="shared" si="459"/>
        <v>1.3207774185705057</v>
      </c>
      <c r="CB485" s="94">
        <f t="shared" si="460"/>
        <v>8.5205746278625288E-3</v>
      </c>
      <c r="CC485" s="249">
        <f t="shared" si="461"/>
        <v>1.5427921326659095</v>
      </c>
      <c r="CD485" s="247">
        <f t="shared" si="462"/>
        <v>181.35485493112</v>
      </c>
      <c r="CE485" s="248">
        <f t="shared" si="463"/>
        <v>1.3120372812776802</v>
      </c>
      <c r="CF485" s="94">
        <f t="shared" si="464"/>
        <v>8.4856620039300574E-3</v>
      </c>
      <c r="CG485" s="249">
        <f t="shared" si="465"/>
        <v>1.6037993346977264</v>
      </c>
      <c r="CH485" s="247">
        <f t="shared" si="466"/>
        <v>177.29542171556724</v>
      </c>
      <c r="CI485" s="248">
        <f t="shared" si="467"/>
        <v>1.3475172849126678</v>
      </c>
      <c r="CJ485" s="94">
        <f t="shared" si="468"/>
        <v>8.6259618926329794E-3</v>
      </c>
      <c r="CK485" s="249">
        <f t="shared" si="469"/>
        <v>1.3561446723818316</v>
      </c>
      <c r="CL485" s="249">
        <f t="shared" si="470"/>
        <v>1.3561439595935663</v>
      </c>
      <c r="CM485" s="249">
        <f t="shared" si="471"/>
        <v>2761.4034552610447</v>
      </c>
      <c r="CN485" s="265">
        <f t="shared" si="420"/>
        <v>154.15700946776852</v>
      </c>
      <c r="CO485" s="265">
        <f t="shared" si="421"/>
        <v>155.17185593707956</v>
      </c>
      <c r="CP485" s="94">
        <f t="shared" si="472"/>
        <v>2.5406277725686696E-2</v>
      </c>
      <c r="CQ485" s="157">
        <f t="shared" si="422"/>
        <v>4.1360466819819832</v>
      </c>
      <c r="CR485" s="285">
        <f t="shared" si="423"/>
        <v>6.0524988924090799</v>
      </c>
      <c r="CS485" s="157">
        <f t="shared" si="424"/>
        <v>13.565309335929314</v>
      </c>
      <c r="CT485" s="143">
        <f t="shared" si="425"/>
        <v>324.68852422006478</v>
      </c>
      <c r="CU485" s="247">
        <f t="shared" si="473"/>
        <v>270.76320159178692</v>
      </c>
      <c r="CV485" s="248">
        <f t="shared" si="474"/>
        <v>0.47131472333106589</v>
      </c>
      <c r="CW485" s="94">
        <f t="shared" si="475"/>
        <v>3.7521019582410979E-3</v>
      </c>
      <c r="CX485" s="249">
        <f t="shared" si="476"/>
        <v>0.53618866978675639</v>
      </c>
      <c r="CY485" s="247">
        <f t="shared" si="477"/>
        <v>271.76320159178692</v>
      </c>
      <c r="CZ485" s="248">
        <f t="shared" si="478"/>
        <v>0.4625745860382402</v>
      </c>
      <c r="DA485" s="94">
        <f t="shared" si="479"/>
        <v>3.6918933914393938E-3</v>
      </c>
      <c r="DB485" s="249">
        <f t="shared" si="480"/>
        <v>0.54831884493137639</v>
      </c>
      <c r="DC485" s="247">
        <f t="shared" si="481"/>
        <v>267.84297593256679</v>
      </c>
      <c r="DD485" s="248">
        <f t="shared" si="482"/>
        <v>0.49683789651868221</v>
      </c>
      <c r="DE485" s="94">
        <f t="shared" si="483"/>
        <v>3.9260328813030014E-3</v>
      </c>
      <c r="DF485" s="249">
        <f t="shared" si="484"/>
        <v>0.50076582107860279</v>
      </c>
      <c r="DG485" s="283">
        <f t="shared" si="485"/>
        <v>0.50076487523929403</v>
      </c>
      <c r="DH485" s="282">
        <f t="shared" si="486"/>
        <v>2904.9176736023142</v>
      </c>
      <c r="DI485" s="265">
        <f t="shared" si="426"/>
        <v>223.21218585914721</v>
      </c>
      <c r="DJ485" s="265">
        <f t="shared" si="427"/>
        <v>222.77757652118564</v>
      </c>
      <c r="DK485" s="284">
        <f t="shared" si="487"/>
        <v>177.29542171556724</v>
      </c>
      <c r="DL485" s="248">
        <f t="shared" si="488"/>
        <v>1.3475172849126678</v>
      </c>
      <c r="DM485" s="94">
        <f t="shared" si="489"/>
        <v>8.6259618926329794E-3</v>
      </c>
      <c r="DN485" s="249">
        <f t="shared" si="490"/>
        <v>1.3561446723818316</v>
      </c>
      <c r="DO485" s="247">
        <f t="shared" si="491"/>
        <v>178.29542171556724</v>
      </c>
      <c r="DP485" s="248">
        <f t="shared" si="492"/>
        <v>1.3387771476198422</v>
      </c>
      <c r="DQ485" s="94">
        <f t="shared" si="493"/>
        <v>8.5917505568833905E-3</v>
      </c>
      <c r="DR485" s="249">
        <f t="shared" si="494"/>
        <v>1.4171518744136484</v>
      </c>
      <c r="DS485" s="247">
        <f t="shared" si="495"/>
        <v>177.29540128643495</v>
      </c>
      <c r="DT485" s="248">
        <f t="shared" si="496"/>
        <v>1.3475174634660889</v>
      </c>
      <c r="DU485" s="94">
        <f t="shared" si="497"/>
        <v>8.625962589216973E-3</v>
      </c>
      <c r="DV485" s="249">
        <f t="shared" si="498"/>
        <v>1.3561434260576306</v>
      </c>
      <c r="DW485" s="249">
        <f t="shared" si="499"/>
        <v>1.3561434260564682</v>
      </c>
      <c r="DX485" s="249">
        <f t="shared" si="500"/>
        <v>2761.4085052580635</v>
      </c>
      <c r="DY485" s="265">
        <f t="shared" si="428"/>
        <v>154.159440904896</v>
      </c>
      <c r="DZ485" s="265">
        <f t="shared" si="429"/>
        <v>155.17428617992715</v>
      </c>
      <c r="EA485" s="94">
        <f t="shared" si="501"/>
        <v>2.3879202221960747E-2</v>
      </c>
      <c r="EB485" s="157">
        <f t="shared" si="430"/>
        <v>3.9714817015522308</v>
      </c>
      <c r="EC485" s="285">
        <f t="shared" si="502"/>
        <v>5.8522692050711163</v>
      </c>
      <c r="ED485" s="157">
        <f t="shared" si="503"/>
        <v>13.11653971279358</v>
      </c>
      <c r="EE485" s="143">
        <f t="shared" si="431"/>
        <v>324.91290903163264</v>
      </c>
    </row>
    <row r="486" spans="1:135" ht="12" customHeight="1" x14ac:dyDescent="0.2">
      <c r="A486" s="200" t="s">
        <v>442</v>
      </c>
      <c r="B486" s="236">
        <f t="shared" si="432"/>
        <v>227.02418184765489</v>
      </c>
      <c r="C486" s="237">
        <f t="shared" si="433"/>
        <v>4.9731697072173846</v>
      </c>
      <c r="D486" s="236">
        <f t="shared" si="434"/>
        <v>2912.833576064872</v>
      </c>
      <c r="E486" s="236">
        <f t="shared" si="504"/>
        <v>154.15700946776852</v>
      </c>
      <c r="F486" s="237">
        <f t="shared" si="435"/>
        <v>4.9933888347897009</v>
      </c>
      <c r="G486" s="238">
        <f t="shared" si="436"/>
        <v>2761.4085052580635</v>
      </c>
      <c r="H486" s="118">
        <v>0</v>
      </c>
      <c r="I486" s="239">
        <f t="shared" si="437"/>
        <v>318.35463917523589</v>
      </c>
      <c r="J486" s="154">
        <f t="shared" si="438"/>
        <v>0.16980645161290331</v>
      </c>
      <c r="K486" s="149">
        <f t="shared" si="376"/>
        <v>0.18056098082451452</v>
      </c>
      <c r="L486" s="240">
        <f t="shared" si="377"/>
        <v>318.35463917523589</v>
      </c>
      <c r="M486" s="154">
        <f t="shared" si="378"/>
        <v>0.58104083037071208</v>
      </c>
      <c r="N486" s="241">
        <f t="shared" si="379"/>
        <v>318.35463917523589</v>
      </c>
      <c r="O486" s="150">
        <f t="shared" si="380"/>
        <v>0.69179176260329711</v>
      </c>
      <c r="P486" s="150">
        <f t="shared" si="381"/>
        <v>3.8281847746253201</v>
      </c>
      <c r="Q486" s="152">
        <f t="shared" si="382"/>
        <v>2.9780121380368307E-5</v>
      </c>
      <c r="R486" s="152">
        <f t="shared" si="439"/>
        <v>566.66664479102656</v>
      </c>
      <c r="S486" s="153">
        <f t="shared" si="383"/>
        <v>0.11294118083057758</v>
      </c>
      <c r="T486" s="154">
        <f t="shared" si="384"/>
        <v>0.7687521522594285</v>
      </c>
      <c r="U486" s="155">
        <f t="shared" si="385"/>
        <v>0.68171399251480469</v>
      </c>
      <c r="V486" s="154">
        <f t="shared" si="386"/>
        <v>4.6140698428864882E-2</v>
      </c>
      <c r="W486" s="154">
        <f t="shared" si="440"/>
        <v>0.35484109522513785</v>
      </c>
      <c r="X486" s="154">
        <f t="shared" si="441"/>
        <v>0.23947036146566425</v>
      </c>
      <c r="Y486" s="154">
        <f t="shared" si="387"/>
        <v>5.8560000000000008</v>
      </c>
      <c r="Z486" s="154">
        <f t="shared" si="388"/>
        <v>35.614812493627326</v>
      </c>
      <c r="AA486" s="154">
        <f t="shared" si="389"/>
        <v>0.71048393138488064</v>
      </c>
      <c r="AB486" s="1"/>
      <c r="AC486" s="242">
        <f t="shared" si="390"/>
        <v>0.1191310844814371</v>
      </c>
      <c r="AD486" s="263">
        <f t="shared" si="391"/>
        <v>2.2022122309652725</v>
      </c>
      <c r="AE486" s="282">
        <f t="shared" si="392"/>
        <v>227.02418184765489</v>
      </c>
      <c r="AF486" s="243">
        <f t="shared" si="393"/>
        <v>0.32566901490491146</v>
      </c>
      <c r="AG486" s="243">
        <f t="shared" si="394"/>
        <v>20.285191934523866</v>
      </c>
      <c r="AH486" s="264">
        <f t="shared" si="395"/>
        <v>1.7240572457061142E-5</v>
      </c>
      <c r="AI486" s="264">
        <f t="shared" si="396"/>
        <v>11714.947009542315</v>
      </c>
      <c r="AJ486" s="245">
        <f t="shared" si="397"/>
        <v>4.4407125622025687E-2</v>
      </c>
      <c r="AK486" s="264">
        <f t="shared" si="398"/>
        <v>53.977468486740875</v>
      </c>
      <c r="AL486" s="246">
        <f t="shared" si="399"/>
        <v>0.98601337573212278</v>
      </c>
      <c r="AM486" s="263">
        <f t="shared" si="400"/>
        <v>3.7383988985758149E-2</v>
      </c>
      <c r="AN486" s="263">
        <f t="shared" si="442"/>
        <v>0.29802338408023693</v>
      </c>
      <c r="AO486" s="263">
        <f t="shared" si="443"/>
        <v>0.20172195968298662</v>
      </c>
      <c r="AP486" s="235">
        <f t="shared" si="401"/>
        <v>8.2990121410668181</v>
      </c>
      <c r="AQ486" s="235">
        <f t="shared" si="402"/>
        <v>68.621201998211788</v>
      </c>
      <c r="AR486" s="263">
        <f t="shared" si="403"/>
        <v>0.97467968146983042</v>
      </c>
      <c r="AT486" s="242">
        <f t="shared" si="404"/>
        <v>0.11705963957999348</v>
      </c>
      <c r="AU486" s="263">
        <f t="shared" si="405"/>
        <v>2.6725275684129906</v>
      </c>
      <c r="AV486" s="282">
        <f t="shared" si="406"/>
        <v>154.15700946776852</v>
      </c>
      <c r="AW486" s="243">
        <f t="shared" si="407"/>
        <v>0.26835730203370484</v>
      </c>
      <c r="AX486" s="243">
        <f t="shared" si="408"/>
        <v>16.71537398291985</v>
      </c>
      <c r="AY486" s="264">
        <f t="shared" si="409"/>
        <v>1.4217293631617552E-5</v>
      </c>
      <c r="AZ486" s="264">
        <f t="shared" si="410"/>
        <v>14206.106871105461</v>
      </c>
      <c r="BA486" s="245">
        <f t="shared" si="411"/>
        <v>4.3634976905694275E-2</v>
      </c>
      <c r="BB486" s="264">
        <f t="shared" si="412"/>
        <v>43.705045463163572</v>
      </c>
      <c r="BC486" s="246">
        <f t="shared" si="413"/>
        <v>1.0586942127402283</v>
      </c>
      <c r="BD486" s="263">
        <f t="shared" si="414"/>
        <v>3.1621075608975646E-2</v>
      </c>
      <c r="BE486" s="263">
        <f t="shared" si="444"/>
        <v>1.0880181883248468</v>
      </c>
      <c r="BF486" s="263">
        <f t="shared" si="445"/>
        <v>1.0272141649964683</v>
      </c>
      <c r="BG486" s="235">
        <f t="shared" si="415"/>
        <v>50.731431048214709</v>
      </c>
      <c r="BH486" s="235">
        <f t="shared" si="416"/>
        <v>354.8134161123445</v>
      </c>
      <c r="BI486" s="263">
        <f t="shared" si="417"/>
        <v>5.0396876960361956</v>
      </c>
      <c r="BJ486" s="247">
        <f t="shared" si="505"/>
        <v>270.76320159178692</v>
      </c>
      <c r="BK486" s="248">
        <f t="shared" si="446"/>
        <v>0.41011838160095732</v>
      </c>
      <c r="BL486" s="94">
        <f t="shared" si="447"/>
        <v>3.2550332997293239E-3</v>
      </c>
      <c r="BM486" s="249">
        <f t="shared" si="448"/>
        <v>0.51707924905925773</v>
      </c>
      <c r="BN486" s="247">
        <f t="shared" si="449"/>
        <v>271.76320159178692</v>
      </c>
      <c r="BO486" s="248">
        <f t="shared" si="450"/>
        <v>0.40150089907835357</v>
      </c>
      <c r="BP486" s="94">
        <f t="shared" si="451"/>
        <v>3.1948247329276198E-3</v>
      </c>
      <c r="BQ486" s="249">
        <f t="shared" si="452"/>
        <v>0.52890117035708539</v>
      </c>
      <c r="BR486" s="247">
        <f t="shared" si="453"/>
        <v>265.7042847596249</v>
      </c>
      <c r="BS486" s="248">
        <f t="shared" si="454"/>
        <v>0.45371350898541934</v>
      </c>
      <c r="BT486" s="94">
        <f t="shared" si="455"/>
        <v>3.5545717831368616E-3</v>
      </c>
      <c r="BU486" s="249">
        <f t="shared" si="456"/>
        <v>0.45727313241718276</v>
      </c>
      <c r="BV486" s="283">
        <f t="shared" si="457"/>
        <v>0.45727060659286944</v>
      </c>
      <c r="BW486" s="282">
        <f t="shared" si="458"/>
        <v>2913.4711604537824</v>
      </c>
      <c r="BX486" s="265">
        <f t="shared" si="418"/>
        <v>227.33003297664465</v>
      </c>
      <c r="BY486" s="265">
        <f t="shared" si="419"/>
        <v>226.94517755254924</v>
      </c>
      <c r="BZ486" s="284">
        <f t="shared" si="506"/>
        <v>177.29542171556724</v>
      </c>
      <c r="CA486" s="248">
        <f t="shared" si="459"/>
        <v>1.2155753411108523</v>
      </c>
      <c r="CB486" s="94">
        <f t="shared" si="460"/>
        <v>7.5787939892631544E-3</v>
      </c>
      <c r="CC486" s="249">
        <f t="shared" si="461"/>
        <v>1.4143709576823469</v>
      </c>
      <c r="CD486" s="247">
        <f t="shared" si="462"/>
        <v>178.29542171556724</v>
      </c>
      <c r="CE486" s="248">
        <f t="shared" si="463"/>
        <v>1.2069578585882483</v>
      </c>
      <c r="CF486" s="94">
        <f t="shared" si="464"/>
        <v>7.5445826535135646E-3</v>
      </c>
      <c r="CG486" s="249">
        <f t="shared" si="465"/>
        <v>1.4754974923181408</v>
      </c>
      <c r="CH486" s="247">
        <f t="shared" si="466"/>
        <v>174.55507093984829</v>
      </c>
      <c r="CI486" s="248">
        <f t="shared" si="467"/>
        <v>1.2391902660264138</v>
      </c>
      <c r="CJ486" s="94">
        <f t="shared" si="468"/>
        <v>7.6713838218965772E-3</v>
      </c>
      <c r="CK486" s="249">
        <f t="shared" si="469"/>
        <v>1.2468628110761375</v>
      </c>
      <c r="CL486" s="249">
        <f t="shared" si="470"/>
        <v>1.2468622304622239</v>
      </c>
      <c r="CM486" s="249">
        <f t="shared" si="471"/>
        <v>2759.6649225808269</v>
      </c>
      <c r="CN486" s="265">
        <f t="shared" si="420"/>
        <v>153.32122361482004</v>
      </c>
      <c r="CO486" s="265">
        <f t="shared" si="421"/>
        <v>154.2465397759498</v>
      </c>
      <c r="CP486" s="94">
        <f t="shared" si="472"/>
        <v>2.2499339625932063E-2</v>
      </c>
      <c r="CQ486" s="157">
        <f t="shared" si="422"/>
        <v>3.7642278579338377</v>
      </c>
      <c r="CR486" s="285">
        <f t="shared" si="423"/>
        <v>5.4908606152287769</v>
      </c>
      <c r="CS486" s="157">
        <f t="shared" si="424"/>
        <v>12.306523981271164</v>
      </c>
      <c r="CT486" s="143">
        <f t="shared" si="425"/>
        <v>312.20137718460029</v>
      </c>
      <c r="CU486" s="247">
        <f t="shared" si="473"/>
        <v>265.7042847596249</v>
      </c>
      <c r="CV486" s="248">
        <f t="shared" si="474"/>
        <v>0.40068788132411526</v>
      </c>
      <c r="CW486" s="94">
        <f t="shared" si="475"/>
        <v>3.0867330963482908E-3</v>
      </c>
      <c r="CX486" s="249">
        <f t="shared" si="476"/>
        <v>0.45820711497611211</v>
      </c>
      <c r="CY486" s="247">
        <f t="shared" si="477"/>
        <v>266.7042847596249</v>
      </c>
      <c r="CZ486" s="248">
        <f t="shared" si="478"/>
        <v>0.39207039880151157</v>
      </c>
      <c r="DA486" s="94">
        <f t="shared" si="479"/>
        <v>3.0281878841926222E-3</v>
      </c>
      <c r="DB486" s="249">
        <f t="shared" si="480"/>
        <v>0.47002903627393972</v>
      </c>
      <c r="DC486" s="247">
        <f t="shared" si="481"/>
        <v>263.04877515380463</v>
      </c>
      <c r="DD486" s="248">
        <f t="shared" si="482"/>
        <v>0.42357168894087777</v>
      </c>
      <c r="DE486" s="94">
        <f t="shared" si="483"/>
        <v>3.2406256543775643E-3</v>
      </c>
      <c r="DF486" s="249">
        <f t="shared" si="484"/>
        <v>0.4268138894104796</v>
      </c>
      <c r="DG486" s="283">
        <f t="shared" si="485"/>
        <v>0.42681310200286748</v>
      </c>
      <c r="DH486" s="282">
        <f t="shared" si="486"/>
        <v>2905.5127902944782</v>
      </c>
      <c r="DI486" s="265">
        <f t="shared" si="426"/>
        <v>223.49756636419949</v>
      </c>
      <c r="DJ486" s="265">
        <f t="shared" si="427"/>
        <v>223.13757144269255</v>
      </c>
      <c r="DK486" s="284">
        <f t="shared" si="487"/>
        <v>174.55507093984829</v>
      </c>
      <c r="DL486" s="248">
        <f t="shared" si="488"/>
        <v>1.2391902660264138</v>
      </c>
      <c r="DM486" s="94">
        <f t="shared" si="489"/>
        <v>7.6713838218965772E-3</v>
      </c>
      <c r="DN486" s="249">
        <f t="shared" si="490"/>
        <v>1.2468628110761375</v>
      </c>
      <c r="DO486" s="247">
        <f t="shared" si="491"/>
        <v>175.55507093984829</v>
      </c>
      <c r="DP486" s="248">
        <f t="shared" si="492"/>
        <v>1.2305727835038101</v>
      </c>
      <c r="DQ486" s="94">
        <f t="shared" si="493"/>
        <v>7.6377926049131717E-3</v>
      </c>
      <c r="DR486" s="249">
        <f t="shared" si="494"/>
        <v>1.3079893457119316</v>
      </c>
      <c r="DS486" s="247">
        <f t="shared" si="495"/>
        <v>174.55505429800783</v>
      </c>
      <c r="DT486" s="248">
        <f t="shared" si="496"/>
        <v>1.2391904094371831</v>
      </c>
      <c r="DU486" s="94">
        <f t="shared" si="497"/>
        <v>7.6713843790461259E-3</v>
      </c>
      <c r="DV486" s="249">
        <f t="shared" si="498"/>
        <v>1.2468617938181004</v>
      </c>
      <c r="DW486" s="249">
        <f t="shared" si="499"/>
        <v>1.2468617938171649</v>
      </c>
      <c r="DX486" s="249">
        <f t="shared" si="500"/>
        <v>2759.6699731866715</v>
      </c>
      <c r="DY486" s="265">
        <f t="shared" si="428"/>
        <v>153.32365533489468</v>
      </c>
      <c r="DZ486" s="265">
        <f t="shared" si="429"/>
        <v>154.24897075741092</v>
      </c>
      <c r="EA486" s="94">
        <f t="shared" si="501"/>
        <v>2.1200619431406994E-2</v>
      </c>
      <c r="EB486" s="157">
        <f t="shared" si="430"/>
        <v>3.6170287155460579</v>
      </c>
      <c r="EC486" s="285">
        <f t="shared" si="502"/>
        <v>5.311904230798433</v>
      </c>
      <c r="ED486" s="157">
        <f t="shared" si="503"/>
        <v>11.905433662116916</v>
      </c>
      <c r="EE486" s="143">
        <f t="shared" si="431"/>
        <v>312.40192234417742</v>
      </c>
    </row>
    <row r="487" spans="1:135" ht="12" customHeight="1" x14ac:dyDescent="0.2">
      <c r="A487" s="200" t="s">
        <v>442</v>
      </c>
      <c r="B487" s="236">
        <f t="shared" si="432"/>
        <v>227.33003297664465</v>
      </c>
      <c r="C487" s="237">
        <f t="shared" si="433"/>
        <v>4.9726299325325174</v>
      </c>
      <c r="D487" s="236">
        <f t="shared" si="434"/>
        <v>2913.4711604537824</v>
      </c>
      <c r="E487" s="236">
        <f t="shared" si="504"/>
        <v>153.32122361482004</v>
      </c>
      <c r="F487" s="237">
        <f t="shared" si="435"/>
        <v>4.9938258852443322</v>
      </c>
      <c r="G487" s="238">
        <f t="shared" si="436"/>
        <v>2759.6699731866715</v>
      </c>
      <c r="H487" s="118">
        <v>0</v>
      </c>
      <c r="I487" s="239">
        <f t="shared" si="437"/>
        <v>306.44920551311895</v>
      </c>
      <c r="J487" s="154">
        <f t="shared" si="438"/>
        <v>0.18193548387096783</v>
      </c>
      <c r="K487" s="149">
        <f t="shared" si="376"/>
        <v>0.17820418347073524</v>
      </c>
      <c r="L487" s="240">
        <f t="shared" si="377"/>
        <v>306.44920551311895</v>
      </c>
      <c r="M487" s="154">
        <f t="shared" si="378"/>
        <v>0.59491204589974833</v>
      </c>
      <c r="N487" s="241">
        <f t="shared" si="379"/>
        <v>306.44920551311895</v>
      </c>
      <c r="O487" s="150">
        <f t="shared" si="380"/>
        <v>0.67566165949575419</v>
      </c>
      <c r="P487" s="150">
        <f t="shared" si="381"/>
        <v>3.7389252337237875</v>
      </c>
      <c r="Q487" s="152">
        <f t="shared" si="382"/>
        <v>2.939141219777535E-5</v>
      </c>
      <c r="R487" s="152">
        <f t="shared" si="439"/>
        <v>574.16096070947299</v>
      </c>
      <c r="S487" s="153">
        <f t="shared" si="383"/>
        <v>0.11146700033544109</v>
      </c>
      <c r="T487" s="154">
        <f t="shared" si="384"/>
        <v>0.7410273268961417</v>
      </c>
      <c r="U487" s="155">
        <f t="shared" si="385"/>
        <v>0.68158044241676097</v>
      </c>
      <c r="V487" s="154">
        <f t="shared" si="386"/>
        <v>4.5544605270836355E-2</v>
      </c>
      <c r="W487" s="154">
        <f t="shared" si="440"/>
        <v>0.3467737220321892</v>
      </c>
      <c r="X487" s="154">
        <f t="shared" si="441"/>
        <v>0.23383049733090785</v>
      </c>
      <c r="Y487" s="154">
        <f t="shared" si="387"/>
        <v>5.8560000000000008</v>
      </c>
      <c r="Z487" s="154">
        <f t="shared" si="388"/>
        <v>35.154703592487699</v>
      </c>
      <c r="AA487" s="154">
        <f t="shared" si="389"/>
        <v>0.70130516676256649</v>
      </c>
      <c r="AB487" s="1"/>
      <c r="AC487" s="242">
        <f t="shared" si="390"/>
        <v>0.11913960871668296</v>
      </c>
      <c r="AD487" s="263">
        <f t="shared" si="391"/>
        <v>2.2004917173772922</v>
      </c>
      <c r="AE487" s="282">
        <f t="shared" si="392"/>
        <v>227.33003297664465</v>
      </c>
      <c r="AF487" s="243">
        <f t="shared" si="393"/>
        <v>0.32592364797664869</v>
      </c>
      <c r="AG487" s="243">
        <f t="shared" si="394"/>
        <v>20.301052457007327</v>
      </c>
      <c r="AH487" s="264">
        <f t="shared" si="395"/>
        <v>1.7253268073494371E-5</v>
      </c>
      <c r="AI487" s="264">
        <f t="shared" si="396"/>
        <v>11706.326702181692</v>
      </c>
      <c r="AJ487" s="245">
        <f t="shared" si="397"/>
        <v>4.4410303103260274E-2</v>
      </c>
      <c r="AK487" s="264">
        <f t="shared" si="398"/>
        <v>54.023537512850389</v>
      </c>
      <c r="AL487" s="246">
        <f t="shared" si="399"/>
        <v>0.98576663604254366</v>
      </c>
      <c r="AM487" s="263">
        <f t="shared" si="400"/>
        <v>3.7410020550944154E-2</v>
      </c>
      <c r="AN487" s="263">
        <f t="shared" si="442"/>
        <v>0.29128567297661034</v>
      </c>
      <c r="AO487" s="263">
        <f t="shared" si="443"/>
        <v>0.19695771752583818</v>
      </c>
      <c r="AP487" s="235">
        <f t="shared" si="401"/>
        <v>8.0974261717938081</v>
      </c>
      <c r="AQ487" s="235">
        <f t="shared" si="402"/>
        <v>67.00099077602394</v>
      </c>
      <c r="AR487" s="263">
        <f t="shared" si="403"/>
        <v>0.95166657601596449</v>
      </c>
      <c r="AT487" s="242">
        <f t="shared" si="404"/>
        <v>0.11703538261737767</v>
      </c>
      <c r="AU487" s="263">
        <f t="shared" si="405"/>
        <v>2.6727479393345028</v>
      </c>
      <c r="AV487" s="282">
        <f t="shared" si="406"/>
        <v>153.32122361482004</v>
      </c>
      <c r="AW487" s="243">
        <f t="shared" si="407"/>
        <v>0.26833517568760484</v>
      </c>
      <c r="AX487" s="243">
        <f t="shared" si="408"/>
        <v>16.71399578248657</v>
      </c>
      <c r="AY487" s="264">
        <f t="shared" si="409"/>
        <v>1.4182632530042657E-5</v>
      </c>
      <c r="AZ487" s="264">
        <f t="shared" si="410"/>
        <v>14240.825341897127</v>
      </c>
      <c r="BA487" s="245">
        <f t="shared" si="411"/>
        <v>4.3625934916436994E-2</v>
      </c>
      <c r="BB487" s="264">
        <f t="shared" si="412"/>
        <v>43.692386173434059</v>
      </c>
      <c r="BC487" s="246">
        <f t="shared" si="413"/>
        <v>1.0597048295843312</v>
      </c>
      <c r="BD487" s="263">
        <f t="shared" si="414"/>
        <v>3.1560618618037842E-2</v>
      </c>
      <c r="BE487" s="263">
        <f t="shared" si="444"/>
        <v>1.0935458268092448</v>
      </c>
      <c r="BF487" s="263">
        <f t="shared" si="445"/>
        <v>1.0290057125013898</v>
      </c>
      <c r="BG487" s="235">
        <f t="shared" si="415"/>
        <v>50.938683348789006</v>
      </c>
      <c r="BH487" s="235">
        <f t="shared" si="416"/>
        <v>355.58178317175185</v>
      </c>
      <c r="BI487" s="263">
        <f t="shared" si="417"/>
        <v>5.0506014040288738</v>
      </c>
      <c r="BJ487" s="247">
        <f t="shared" si="505"/>
        <v>265.7042847596249</v>
      </c>
      <c r="BK487" s="248">
        <f t="shared" si="446"/>
        <v>0.34658252951137197</v>
      </c>
      <c r="BL487" s="94">
        <f t="shared" si="447"/>
        <v>2.6625333569006071E-3</v>
      </c>
      <c r="BM487" s="249">
        <f t="shared" si="448"/>
        <v>0.44294610623734665</v>
      </c>
      <c r="BN487" s="247">
        <f t="shared" si="449"/>
        <v>266.7042847596249</v>
      </c>
      <c r="BO487" s="248">
        <f t="shared" si="450"/>
        <v>0.33807637652096145</v>
      </c>
      <c r="BP487" s="94">
        <f t="shared" si="451"/>
        <v>2.6039881447449389E-3</v>
      </c>
      <c r="BQ487" s="249">
        <f t="shared" si="452"/>
        <v>0.45448890083676613</v>
      </c>
      <c r="BR487" s="247">
        <f t="shared" si="453"/>
        <v>261.0442784479568</v>
      </c>
      <c r="BS487" s="248">
        <f t="shared" si="454"/>
        <v>0.38622125613469932</v>
      </c>
      <c r="BT487" s="94">
        <f t="shared" si="455"/>
        <v>2.9310860701097594E-3</v>
      </c>
      <c r="BU487" s="249">
        <f t="shared" si="456"/>
        <v>0.38915661054976358</v>
      </c>
      <c r="BV487" s="283">
        <f t="shared" si="457"/>
        <v>0.38915447637728634</v>
      </c>
      <c r="BW487" s="282">
        <f t="shared" si="458"/>
        <v>2914.0137687374449</v>
      </c>
      <c r="BX487" s="265">
        <f t="shared" si="418"/>
        <v>227.59014877188616</v>
      </c>
      <c r="BY487" s="265">
        <f t="shared" si="419"/>
        <v>227.2676631622177</v>
      </c>
      <c r="BZ487" s="284">
        <f t="shared" si="506"/>
        <v>174.55507093984829</v>
      </c>
      <c r="CA487" s="248">
        <f t="shared" si="459"/>
        <v>1.1219116872180299</v>
      </c>
      <c r="CB487" s="94">
        <f t="shared" si="460"/>
        <v>6.7793453956603231E-3</v>
      </c>
      <c r="CC487" s="249">
        <f t="shared" si="461"/>
        <v>1.3007622860123764</v>
      </c>
      <c r="CD487" s="247">
        <f t="shared" si="462"/>
        <v>175.55507093984829</v>
      </c>
      <c r="CE487" s="248">
        <f t="shared" si="463"/>
        <v>1.1134055342276195</v>
      </c>
      <c r="CF487" s="94">
        <f t="shared" si="464"/>
        <v>6.7457541786769184E-3</v>
      </c>
      <c r="CG487" s="249">
        <f t="shared" si="465"/>
        <v>1.3620211933644686</v>
      </c>
      <c r="CH487" s="247">
        <f t="shared" si="466"/>
        <v>172.08981911113585</v>
      </c>
      <c r="CI487" s="248">
        <f t="shared" si="467"/>
        <v>1.1428814964329472</v>
      </c>
      <c r="CJ487" s="94">
        <f t="shared" si="468"/>
        <v>6.8611997508105215E-3</v>
      </c>
      <c r="CK487" s="249">
        <f t="shared" si="469"/>
        <v>1.1497436526377052</v>
      </c>
      <c r="CL487" s="249">
        <f t="shared" si="470"/>
        <v>1.1497431744107316</v>
      </c>
      <c r="CM487" s="249">
        <f t="shared" si="471"/>
        <v>2758.061805545331</v>
      </c>
      <c r="CN487" s="265">
        <f t="shared" si="420"/>
        <v>152.55064279988568</v>
      </c>
      <c r="CO487" s="265">
        <f t="shared" si="421"/>
        <v>153.39859128791772</v>
      </c>
      <c r="CP487" s="94">
        <f t="shared" si="472"/>
        <v>2.0023040954700221E-2</v>
      </c>
      <c r="CQ487" s="157">
        <f t="shared" si="422"/>
        <v>3.4344737120538538</v>
      </c>
      <c r="CR487" s="285">
        <f t="shared" si="423"/>
        <v>4.9933948820235452</v>
      </c>
      <c r="CS487" s="157">
        <f t="shared" si="424"/>
        <v>11.191566890834123</v>
      </c>
      <c r="CT487" s="143">
        <f t="shared" si="425"/>
        <v>300.8534220677019</v>
      </c>
      <c r="CU487" s="247">
        <f t="shared" si="473"/>
        <v>261.0442784479568</v>
      </c>
      <c r="CV487" s="248">
        <f t="shared" si="474"/>
        <v>0.33862266604677549</v>
      </c>
      <c r="CW487" s="94">
        <f t="shared" si="475"/>
        <v>2.5303651764513107E-3</v>
      </c>
      <c r="CX487" s="249">
        <f t="shared" si="476"/>
        <v>0.38987653250689769</v>
      </c>
      <c r="CY487" s="247">
        <f t="shared" si="477"/>
        <v>262.0442784479568</v>
      </c>
      <c r="CZ487" s="248">
        <f t="shared" si="478"/>
        <v>0.33011651305636502</v>
      </c>
      <c r="DA487" s="94">
        <f t="shared" si="479"/>
        <v>2.4733247921406433E-3</v>
      </c>
      <c r="DB487" s="249">
        <f t="shared" si="480"/>
        <v>0.40141932710631717</v>
      </c>
      <c r="DC487" s="247">
        <f t="shared" si="481"/>
        <v>258.62094559078326</v>
      </c>
      <c r="DD487" s="248">
        <f t="shared" si="482"/>
        <v>0.35923590607658218</v>
      </c>
      <c r="DE487" s="94">
        <f t="shared" si="483"/>
        <v>2.6672699897324218E-3</v>
      </c>
      <c r="DF487" s="249">
        <f t="shared" si="484"/>
        <v>0.3619044990905193</v>
      </c>
      <c r="DG487" s="283">
        <f t="shared" si="485"/>
        <v>0.36190383757841693</v>
      </c>
      <c r="DH487" s="282">
        <f t="shared" si="486"/>
        <v>2906.0174022983988</v>
      </c>
      <c r="DI487" s="265">
        <f t="shared" si="426"/>
        <v>223.73936459015155</v>
      </c>
      <c r="DJ487" s="265">
        <f t="shared" si="427"/>
        <v>223.43846801642206</v>
      </c>
      <c r="DK487" s="284">
        <f t="shared" si="487"/>
        <v>172.08981911113585</v>
      </c>
      <c r="DL487" s="248">
        <f t="shared" si="488"/>
        <v>1.1428814964329472</v>
      </c>
      <c r="DM487" s="94">
        <f t="shared" si="489"/>
        <v>6.8611997508105215E-3</v>
      </c>
      <c r="DN487" s="249">
        <f t="shared" si="490"/>
        <v>1.1497436526377052</v>
      </c>
      <c r="DO487" s="247">
        <f t="shared" si="491"/>
        <v>173.08981911113585</v>
      </c>
      <c r="DP487" s="248">
        <f t="shared" si="492"/>
        <v>1.1343753434425365</v>
      </c>
      <c r="DQ487" s="94">
        <f t="shared" si="493"/>
        <v>6.8281599567240189E-3</v>
      </c>
      <c r="DR487" s="249">
        <f t="shared" si="494"/>
        <v>1.2110025599897973</v>
      </c>
      <c r="DS487" s="247">
        <f t="shared" si="495"/>
        <v>172.08980540798424</v>
      </c>
      <c r="DT487" s="248">
        <f t="shared" si="496"/>
        <v>1.1428816129940511</v>
      </c>
      <c r="DU487" s="94">
        <f t="shared" si="497"/>
        <v>6.8612002020368452E-3</v>
      </c>
      <c r="DV487" s="249">
        <f t="shared" si="498"/>
        <v>1.1497428131976102</v>
      </c>
      <c r="DW487" s="249">
        <f t="shared" si="499"/>
        <v>1.1497428131968492</v>
      </c>
      <c r="DX487" s="249">
        <f t="shared" si="500"/>
        <v>2758.0668566548256</v>
      </c>
      <c r="DY487" s="265">
        <f t="shared" si="428"/>
        <v>152.55307475226937</v>
      </c>
      <c r="DZ487" s="265">
        <f t="shared" si="429"/>
        <v>153.40102275484014</v>
      </c>
      <c r="EA487" s="94">
        <f t="shared" si="501"/>
        <v>1.8910639753904369E-2</v>
      </c>
      <c r="EB487" s="157">
        <f t="shared" si="430"/>
        <v>3.3023400259697775</v>
      </c>
      <c r="EC487" s="285">
        <f t="shared" si="502"/>
        <v>4.8328973164997091</v>
      </c>
      <c r="ED487" s="157">
        <f t="shared" si="503"/>
        <v>10.831847845412236</v>
      </c>
      <c r="EE487" s="143">
        <f t="shared" si="431"/>
        <v>301.03328159041286</v>
      </c>
    </row>
    <row r="488" spans="1:135" ht="12" customHeight="1" x14ac:dyDescent="0.2">
      <c r="A488" s="200" t="s">
        <v>442</v>
      </c>
      <c r="B488" s="236">
        <f t="shared" si="432"/>
        <v>227.59014877188616</v>
      </c>
      <c r="C488" s="237">
        <f t="shared" si="433"/>
        <v>4.9720896971573891</v>
      </c>
      <c r="D488" s="236">
        <f t="shared" si="434"/>
        <v>2914.0137687374449</v>
      </c>
      <c r="E488" s="236">
        <f t="shared" si="504"/>
        <v>152.55064279988568</v>
      </c>
      <c r="F488" s="237">
        <f t="shared" si="435"/>
        <v>4.9942628091060666</v>
      </c>
      <c r="G488" s="238">
        <f t="shared" si="436"/>
        <v>2758.0668566548256</v>
      </c>
      <c r="H488" s="118">
        <v>0</v>
      </c>
      <c r="I488" s="239">
        <f t="shared" si="437"/>
        <v>295.6173576677067</v>
      </c>
      <c r="J488" s="154">
        <f t="shared" si="438"/>
        <v>0.19406451612903236</v>
      </c>
      <c r="K488" s="149">
        <f t="shared" si="376"/>
        <v>0.17604675067348838</v>
      </c>
      <c r="L488" s="240">
        <f t="shared" si="377"/>
        <v>295.6173576677067</v>
      </c>
      <c r="M488" s="154">
        <f t="shared" si="378"/>
        <v>0.60831264870067803</v>
      </c>
      <c r="N488" s="241">
        <f t="shared" si="379"/>
        <v>295.6173576677067</v>
      </c>
      <c r="O488" s="150">
        <f t="shared" si="380"/>
        <v>0.66077741609549112</v>
      </c>
      <c r="P488" s="150">
        <f t="shared" si="381"/>
        <v>3.6565599367559787</v>
      </c>
      <c r="Q488" s="152">
        <f t="shared" si="382"/>
        <v>2.9035584431008615E-5</v>
      </c>
      <c r="R488" s="152">
        <f t="shared" si="439"/>
        <v>581.19723762338663</v>
      </c>
      <c r="S488" s="153">
        <f t="shared" si="383"/>
        <v>0.11011752268766241</v>
      </c>
      <c r="T488" s="154">
        <f t="shared" si="384"/>
        <v>0.71592950008859202</v>
      </c>
      <c r="U488" s="155">
        <f t="shared" si="385"/>
        <v>0.68149302500175479</v>
      </c>
      <c r="V488" s="154">
        <f t="shared" si="386"/>
        <v>4.5002265481064403E-2</v>
      </c>
      <c r="W488" s="154">
        <f t="shared" si="440"/>
        <v>0.33939331309919002</v>
      </c>
      <c r="X488" s="154">
        <f t="shared" si="441"/>
        <v>0.22868717910420291</v>
      </c>
      <c r="Y488" s="154">
        <f t="shared" si="387"/>
        <v>5.8560000000000008</v>
      </c>
      <c r="Z488" s="154">
        <f t="shared" si="388"/>
        <v>34.736085526912909</v>
      </c>
      <c r="AA488" s="154">
        <f t="shared" si="389"/>
        <v>0.69295410752193376</v>
      </c>
      <c r="AB488" s="1"/>
      <c r="AC488" s="242">
        <f t="shared" si="390"/>
        <v>0.11914685722457199</v>
      </c>
      <c r="AD488" s="263">
        <f t="shared" si="391"/>
        <v>2.1989937433955395</v>
      </c>
      <c r="AE488" s="282">
        <f t="shared" si="392"/>
        <v>227.59014877188616</v>
      </c>
      <c r="AF488" s="243">
        <f t="shared" si="393"/>
        <v>0.32614567004750417</v>
      </c>
      <c r="AG488" s="243">
        <f t="shared" si="394"/>
        <v>20.314881713445246</v>
      </c>
      <c r="AH488" s="264">
        <f t="shared" si="395"/>
        <v>1.7264065293644551E-5</v>
      </c>
      <c r="AI488" s="264">
        <f t="shared" si="396"/>
        <v>11699.005379862556</v>
      </c>
      <c r="AJ488" s="245">
        <f t="shared" si="397"/>
        <v>4.441300504626533E-2</v>
      </c>
      <c r="AK488" s="264">
        <f t="shared" si="398"/>
        <v>54.063627879846273</v>
      </c>
      <c r="AL488" s="246">
        <f t="shared" si="399"/>
        <v>0.98555651040036185</v>
      </c>
      <c r="AM488" s="263">
        <f t="shared" si="400"/>
        <v>3.7432144489650043E-2</v>
      </c>
      <c r="AN488" s="263">
        <f t="shared" si="442"/>
        <v>0.28511869398216333</v>
      </c>
      <c r="AO488" s="263">
        <f t="shared" si="443"/>
        <v>0.19261400906545811</v>
      </c>
      <c r="AP488" s="235">
        <f t="shared" si="401"/>
        <v>7.9142082118019781</v>
      </c>
      <c r="AQ488" s="235">
        <f t="shared" si="402"/>
        <v>65.52370726916449</v>
      </c>
      <c r="AR488" s="263">
        <f t="shared" si="403"/>
        <v>0.93068358277221552</v>
      </c>
      <c r="AT488" s="242">
        <f t="shared" si="404"/>
        <v>0.11701300746916948</v>
      </c>
      <c r="AU488" s="263">
        <f t="shared" si="405"/>
        <v>2.6729682453087573</v>
      </c>
      <c r="AV488" s="282">
        <f t="shared" si="406"/>
        <v>152.55064279988568</v>
      </c>
      <c r="AW488" s="243">
        <f t="shared" si="407"/>
        <v>0.26831305950930368</v>
      </c>
      <c r="AX488" s="243">
        <f t="shared" si="408"/>
        <v>16.712618215382655</v>
      </c>
      <c r="AY488" s="264">
        <f t="shared" si="409"/>
        <v>1.4150675883393746E-5</v>
      </c>
      <c r="AZ488" s="264">
        <f t="shared" si="410"/>
        <v>14272.985574184966</v>
      </c>
      <c r="BA488" s="245">
        <f t="shared" si="411"/>
        <v>4.3617594389515603E-2</v>
      </c>
      <c r="BB488" s="264">
        <f t="shared" si="412"/>
        <v>43.680432505302299</v>
      </c>
      <c r="BC488" s="246">
        <f t="shared" si="413"/>
        <v>1.060640907437292</v>
      </c>
      <c r="BD488" s="263">
        <f t="shared" si="414"/>
        <v>3.1505010508647187E-2</v>
      </c>
      <c r="BE488" s="263">
        <f t="shared" si="444"/>
        <v>1.0999998382400304</v>
      </c>
      <c r="BF488" s="263">
        <f t="shared" si="445"/>
        <v>1.0311137884729984</v>
      </c>
      <c r="BG488" s="235">
        <f t="shared" si="415"/>
        <v>51.153298245660295</v>
      </c>
      <c r="BH488" s="235">
        <f t="shared" si="416"/>
        <v>356.45076501404304</v>
      </c>
      <c r="BI488" s="263">
        <f t="shared" si="417"/>
        <v>5.0629442211259796</v>
      </c>
      <c r="BJ488" s="247">
        <f t="shared" si="505"/>
        <v>261.0442784479568</v>
      </c>
      <c r="BK488" s="248">
        <f t="shared" si="446"/>
        <v>0.29058198477040659</v>
      </c>
      <c r="BL488" s="94">
        <f t="shared" si="447"/>
        <v>2.1658711417772351E-3</v>
      </c>
      <c r="BM488" s="249">
        <f t="shared" si="448"/>
        <v>0.37763995754225343</v>
      </c>
      <c r="BN488" s="247">
        <f t="shared" si="449"/>
        <v>262.0442784479568</v>
      </c>
      <c r="BO488" s="248">
        <f t="shared" si="450"/>
        <v>0.28217712204691475</v>
      </c>
      <c r="BP488" s="94">
        <f t="shared" si="451"/>
        <v>2.1088307574665677E-3</v>
      </c>
      <c r="BQ488" s="249">
        <f t="shared" si="452"/>
        <v>0.38892824873974868</v>
      </c>
      <c r="BR488" s="247">
        <f t="shared" si="453"/>
        <v>256.74598647584702</v>
      </c>
      <c r="BS488" s="248">
        <f t="shared" si="454"/>
        <v>0.32670853874147632</v>
      </c>
      <c r="BT488" s="94">
        <f t="shared" si="455"/>
        <v>2.4074239315251215E-3</v>
      </c>
      <c r="BU488" s="249">
        <f t="shared" si="456"/>
        <v>0.32911958610922198</v>
      </c>
      <c r="BV488" s="283">
        <f t="shared" si="457"/>
        <v>0.32911777439111167</v>
      </c>
      <c r="BW488" s="282">
        <f t="shared" si="458"/>
        <v>2914.4726662743506</v>
      </c>
      <c r="BX488" s="265">
        <f t="shared" si="418"/>
        <v>227.80995372717243</v>
      </c>
      <c r="BY488" s="265">
        <f t="shared" si="419"/>
        <v>227.53880844469506</v>
      </c>
      <c r="BZ488" s="284">
        <f t="shared" si="506"/>
        <v>172.08981911113585</v>
      </c>
      <c r="CA488" s="248">
        <f t="shared" si="459"/>
        <v>1.0382320041388244</v>
      </c>
      <c r="CB488" s="94">
        <f t="shared" si="460"/>
        <v>6.0959848224779968E-3</v>
      </c>
      <c r="CC488" s="249">
        <f t="shared" si="461"/>
        <v>1.1998737316537993</v>
      </c>
      <c r="CD488" s="247">
        <f t="shared" si="462"/>
        <v>173.08981911113585</v>
      </c>
      <c r="CE488" s="248">
        <f t="shared" si="463"/>
        <v>1.0298271414153326</v>
      </c>
      <c r="CF488" s="94">
        <f t="shared" si="464"/>
        <v>6.0629450283914959E-3</v>
      </c>
      <c r="CG488" s="249">
        <f t="shared" si="465"/>
        <v>1.2612823454326176</v>
      </c>
      <c r="CH488" s="247">
        <f t="shared" si="466"/>
        <v>169.86285417515489</v>
      </c>
      <c r="CI488" s="248">
        <f t="shared" si="467"/>
        <v>1.0569493387157742</v>
      </c>
      <c r="CJ488" s="94">
        <f t="shared" si="468"/>
        <v>6.1687672585687119E-3</v>
      </c>
      <c r="CK488" s="249">
        <f t="shared" si="469"/>
        <v>1.0631189020011735</v>
      </c>
      <c r="CL488" s="249">
        <f t="shared" si="470"/>
        <v>1.0631185039877582</v>
      </c>
      <c r="CM488" s="249">
        <f t="shared" si="471"/>
        <v>2756.5794715576844</v>
      </c>
      <c r="CN488" s="265">
        <f t="shared" si="420"/>
        <v>151.83822111246542</v>
      </c>
      <c r="CO488" s="265">
        <f t="shared" si="421"/>
        <v>152.61840620019157</v>
      </c>
      <c r="CP488" s="94">
        <f t="shared" si="472"/>
        <v>1.7898804313649135E-2</v>
      </c>
      <c r="CQ488" s="157">
        <f t="shared" si="422"/>
        <v>3.1408488249710613</v>
      </c>
      <c r="CR488" s="285">
        <f t="shared" si="423"/>
        <v>4.5509843056769954</v>
      </c>
      <c r="CS488" s="157">
        <f t="shared" si="424"/>
        <v>10.200003500520312</v>
      </c>
      <c r="CT488" s="143">
        <f t="shared" si="425"/>
        <v>290.51735591744654</v>
      </c>
      <c r="CU488" s="247">
        <f t="shared" si="473"/>
        <v>256.74598647584702</v>
      </c>
      <c r="CV488" s="248">
        <f t="shared" si="474"/>
        <v>0.28384372414097153</v>
      </c>
      <c r="CW488" s="94">
        <f t="shared" si="475"/>
        <v>2.0619506391697674E-3</v>
      </c>
      <c r="CX488" s="249">
        <f t="shared" si="476"/>
        <v>0.32969913067272982</v>
      </c>
      <c r="CY488" s="247">
        <f t="shared" si="477"/>
        <v>257.74598647584702</v>
      </c>
      <c r="CZ488" s="248">
        <f t="shared" si="478"/>
        <v>0.27543886141747964</v>
      </c>
      <c r="DA488" s="94">
        <f t="shared" si="479"/>
        <v>2.0062752113660901E-3</v>
      </c>
      <c r="DB488" s="249">
        <f t="shared" si="480"/>
        <v>0.34098742187022507</v>
      </c>
      <c r="DC488" s="247">
        <f t="shared" si="481"/>
        <v>254.52846486384979</v>
      </c>
      <c r="DD488" s="248">
        <f t="shared" si="482"/>
        <v>0.30248168887618454</v>
      </c>
      <c r="DE488" s="94">
        <f t="shared" si="483"/>
        <v>2.1842921965647684E-3</v>
      </c>
      <c r="DF488" s="249">
        <f t="shared" si="484"/>
        <v>0.30466710097976601</v>
      </c>
      <c r="DG488" s="283">
        <f t="shared" si="485"/>
        <v>0.30466654102625768</v>
      </c>
      <c r="DH488" s="282">
        <f t="shared" si="486"/>
        <v>2906.4422068399131</v>
      </c>
      <c r="DI488" s="265">
        <f t="shared" si="426"/>
        <v>223.94273147124372</v>
      </c>
      <c r="DJ488" s="265">
        <f t="shared" si="427"/>
        <v>223.69059974383288</v>
      </c>
      <c r="DK488" s="284">
        <f t="shared" si="487"/>
        <v>169.86285417515489</v>
      </c>
      <c r="DL488" s="248">
        <f t="shared" si="488"/>
        <v>1.0569493387157742</v>
      </c>
      <c r="DM488" s="94">
        <f t="shared" si="489"/>
        <v>6.1687672585687119E-3</v>
      </c>
      <c r="DN488" s="249">
        <f t="shared" si="490"/>
        <v>1.0631189020011735</v>
      </c>
      <c r="DO488" s="247">
        <f t="shared" si="491"/>
        <v>170.86285417515489</v>
      </c>
      <c r="DP488" s="248">
        <f t="shared" si="492"/>
        <v>1.0485444759922822</v>
      </c>
      <c r="DQ488" s="94">
        <f t="shared" si="493"/>
        <v>6.136220370387753E-3</v>
      </c>
      <c r="DR488" s="249">
        <f t="shared" si="494"/>
        <v>1.1245275157799919</v>
      </c>
      <c r="DS488" s="247">
        <f t="shared" si="495"/>
        <v>169.86284277827369</v>
      </c>
      <c r="DT488" s="248">
        <f t="shared" si="496"/>
        <v>1.0569494345049961</v>
      </c>
      <c r="DU488" s="94">
        <f t="shared" si="497"/>
        <v>6.1687676282477059E-3</v>
      </c>
      <c r="DV488" s="249">
        <f t="shared" si="498"/>
        <v>1.0631182021344971</v>
      </c>
      <c r="DW488" s="249">
        <f t="shared" si="499"/>
        <v>1.0631182021338705</v>
      </c>
      <c r="DX488" s="249">
        <f t="shared" si="500"/>
        <v>2756.5845230880618</v>
      </c>
      <c r="DY488" s="265">
        <f t="shared" si="428"/>
        <v>151.8406532573095</v>
      </c>
      <c r="DZ488" s="265">
        <f t="shared" si="429"/>
        <v>152.62083800607482</v>
      </c>
      <c r="EA488" s="94">
        <f t="shared" si="501"/>
        <v>1.6939770454070673E-2</v>
      </c>
      <c r="EB488" s="157">
        <f t="shared" si="430"/>
        <v>3.0218560996400599</v>
      </c>
      <c r="EC488" s="285">
        <f t="shared" si="502"/>
        <v>4.406580613254885</v>
      </c>
      <c r="ED488" s="157">
        <f t="shared" si="503"/>
        <v>9.8763552369224303</v>
      </c>
      <c r="EE488" s="143">
        <f t="shared" si="431"/>
        <v>290.67918004924547</v>
      </c>
    </row>
    <row r="489" spans="1:135" ht="12" customHeight="1" x14ac:dyDescent="0.2">
      <c r="A489" s="200" t="s">
        <v>442</v>
      </c>
      <c r="B489" s="236">
        <f t="shared" si="432"/>
        <v>227.80995372717243</v>
      </c>
      <c r="C489" s="237">
        <f t="shared" si="433"/>
        <v>4.9715490608785906</v>
      </c>
      <c r="D489" s="236">
        <f t="shared" si="434"/>
        <v>2914.4726662743506</v>
      </c>
      <c r="E489" s="236">
        <f t="shared" si="504"/>
        <v>151.83822111246542</v>
      </c>
      <c r="F489" s="237">
        <f t="shared" si="435"/>
        <v>4.9946996134311199</v>
      </c>
      <c r="G489" s="238">
        <f t="shared" si="436"/>
        <v>2756.5845230880618</v>
      </c>
      <c r="H489" s="118">
        <v>0</v>
      </c>
      <c r="I489" s="239">
        <f t="shared" si="437"/>
        <v>285.74100243078425</v>
      </c>
      <c r="J489" s="154">
        <f t="shared" si="438"/>
        <v>0.20619354838709689</v>
      </c>
      <c r="K489" s="149">
        <f t="shared" si="376"/>
        <v>0.1740686978423174</v>
      </c>
      <c r="L489" s="240">
        <f t="shared" si="377"/>
        <v>285.74100243078425</v>
      </c>
      <c r="M489" s="154">
        <f t="shared" si="378"/>
        <v>0.6212432126923445</v>
      </c>
      <c r="N489" s="241">
        <f t="shared" si="379"/>
        <v>285.74100243078425</v>
      </c>
      <c r="O489" s="150">
        <f t="shared" si="380"/>
        <v>0.64702398670019556</v>
      </c>
      <c r="P489" s="150">
        <f t="shared" si="381"/>
        <v>3.5804522525421278</v>
      </c>
      <c r="Q489" s="152">
        <f t="shared" si="382"/>
        <v>2.8709341999559348E-5</v>
      </c>
      <c r="R489" s="152">
        <f t="shared" si="439"/>
        <v>587.80174983954123</v>
      </c>
      <c r="S489" s="153">
        <f t="shared" si="383"/>
        <v>0.1088802474941097</v>
      </c>
      <c r="T489" s="154">
        <f t="shared" si="384"/>
        <v>0.69315141609415609</v>
      </c>
      <c r="U489" s="155">
        <f t="shared" si="385"/>
        <v>0.68144243090322076</v>
      </c>
      <c r="V489" s="154">
        <f t="shared" si="386"/>
        <v>4.4507766250706932E-2</v>
      </c>
      <c r="W489" s="154">
        <f t="shared" si="440"/>
        <v>0.33260362424869389</v>
      </c>
      <c r="X489" s="154">
        <f t="shared" si="441"/>
        <v>0.22396860264075552</v>
      </c>
      <c r="Y489" s="154">
        <f t="shared" si="387"/>
        <v>5.8560000000000008</v>
      </c>
      <c r="Z489" s="154">
        <f t="shared" si="388"/>
        <v>34.35439435258931</v>
      </c>
      <c r="AA489" s="154">
        <f t="shared" si="389"/>
        <v>0.68533970702054492</v>
      </c>
      <c r="AB489" s="1"/>
      <c r="AC489" s="242">
        <f t="shared" si="390"/>
        <v>0.11915298165339804</v>
      </c>
      <c r="AD489" s="263">
        <f t="shared" si="391"/>
        <v>2.1976913220084113</v>
      </c>
      <c r="AE489" s="282">
        <f t="shared" si="392"/>
        <v>227.80995372717243</v>
      </c>
      <c r="AF489" s="243">
        <f t="shared" si="393"/>
        <v>0.32633895428707649</v>
      </c>
      <c r="AG489" s="243">
        <f t="shared" si="394"/>
        <v>20.326920954878108</v>
      </c>
      <c r="AH489" s="264">
        <f t="shared" si="395"/>
        <v>1.7273189266928297E-5</v>
      </c>
      <c r="AI489" s="264">
        <f t="shared" si="396"/>
        <v>11692.825779159824</v>
      </c>
      <c r="AJ489" s="245">
        <f t="shared" si="397"/>
        <v>4.4415287979233047E-2</v>
      </c>
      <c r="AK489" s="264">
        <f t="shared" si="398"/>
        <v>54.09844834029213</v>
      </c>
      <c r="AL489" s="246">
        <f t="shared" si="399"/>
        <v>0.98537852280756155</v>
      </c>
      <c r="AM489" s="263">
        <f t="shared" si="400"/>
        <v>3.7450820011794603E-2</v>
      </c>
      <c r="AN489" s="263">
        <f t="shared" si="442"/>
        <v>0.27944288131029943</v>
      </c>
      <c r="AO489" s="263">
        <f t="shared" si="443"/>
        <v>0.18862987856047744</v>
      </c>
      <c r="AP489" s="235">
        <f t="shared" si="401"/>
        <v>7.7466715204125913</v>
      </c>
      <c r="AQ489" s="235">
        <f t="shared" si="402"/>
        <v>64.168627975198461</v>
      </c>
      <c r="AR489" s="263">
        <f t="shared" si="403"/>
        <v>0.91143634990323152</v>
      </c>
      <c r="AT489" s="242">
        <f t="shared" si="404"/>
        <v>0.1169923119827227</v>
      </c>
      <c r="AU489" s="263">
        <f t="shared" si="405"/>
        <v>2.6731884898946912</v>
      </c>
      <c r="AV489" s="282">
        <f t="shared" si="406"/>
        <v>151.83822111246542</v>
      </c>
      <c r="AW489" s="243">
        <f t="shared" si="407"/>
        <v>0.26829095313748752</v>
      </c>
      <c r="AX489" s="243">
        <f t="shared" si="408"/>
        <v>16.711241259102678</v>
      </c>
      <c r="AY489" s="264">
        <f t="shared" si="409"/>
        <v>1.4121131417977319E-5</v>
      </c>
      <c r="AZ489" s="264">
        <f t="shared" si="410"/>
        <v>14302.847751386204</v>
      </c>
      <c r="BA489" s="245">
        <f t="shared" si="411"/>
        <v>4.3609879970810762E-2</v>
      </c>
      <c r="BB489" s="264">
        <f t="shared" si="412"/>
        <v>43.669108768839124</v>
      </c>
      <c r="BC489" s="246">
        <f t="shared" si="413"/>
        <v>1.0615101130416009</v>
      </c>
      <c r="BD489" s="263">
        <f t="shared" si="414"/>
        <v>3.1453714794176572E-2</v>
      </c>
      <c r="BE489" s="263">
        <f t="shared" si="444"/>
        <v>1.1076538437697006</v>
      </c>
      <c r="BF489" s="263">
        <f t="shared" si="445"/>
        <v>1.0336376589622871</v>
      </c>
      <c r="BG489" s="235">
        <f t="shared" si="415"/>
        <v>51.381150770650393</v>
      </c>
      <c r="BH489" s="235">
        <f t="shared" si="416"/>
        <v>357.455556519646</v>
      </c>
      <c r="BI489" s="263">
        <f t="shared" si="417"/>
        <v>5.0772160472687249</v>
      </c>
      <c r="BJ489" s="247">
        <f t="shared" si="505"/>
        <v>256.74598647584702</v>
      </c>
      <c r="BK489" s="248">
        <f t="shared" si="446"/>
        <v>0.24102128509981885</v>
      </c>
      <c r="BL489" s="94">
        <f t="shared" si="447"/>
        <v>1.7467958634100611E-3</v>
      </c>
      <c r="BM489" s="249">
        <f t="shared" si="448"/>
        <v>0.31988323799979895</v>
      </c>
      <c r="BN489" s="247">
        <f t="shared" si="449"/>
        <v>257.74598647584702</v>
      </c>
      <c r="BO489" s="248">
        <f t="shared" si="450"/>
        <v>0.23270877768563414</v>
      </c>
      <c r="BP489" s="94">
        <f t="shared" si="451"/>
        <v>1.691120435606384E-3</v>
      </c>
      <c r="BQ489" s="249">
        <f t="shared" si="452"/>
        <v>0.33093807888894783</v>
      </c>
      <c r="BR489" s="247">
        <f t="shared" si="453"/>
        <v>252.77569029004019</v>
      </c>
      <c r="BS489" s="248">
        <f t="shared" si="454"/>
        <v>0.27402440158084729</v>
      </c>
      <c r="BT489" s="94">
        <f t="shared" si="455"/>
        <v>1.9647532243817121E-3</v>
      </c>
      <c r="BU489" s="249">
        <f t="shared" si="456"/>
        <v>0.27599224538290978</v>
      </c>
      <c r="BV489" s="283">
        <f t="shared" si="457"/>
        <v>0.2759907000940694</v>
      </c>
      <c r="BW489" s="282">
        <f t="shared" si="458"/>
        <v>2914.8574873394427</v>
      </c>
      <c r="BX489" s="265">
        <f t="shared" si="418"/>
        <v>227.99408694485314</v>
      </c>
      <c r="BY489" s="265">
        <f t="shared" si="419"/>
        <v>227.76644769477412</v>
      </c>
      <c r="BZ489" s="284">
        <f t="shared" si="506"/>
        <v>169.86285417515489</v>
      </c>
      <c r="CA489" s="248">
        <f t="shared" si="459"/>
        <v>0.96323796651691063</v>
      </c>
      <c r="CB489" s="94">
        <f t="shared" si="460"/>
        <v>5.5081391904536498E-3</v>
      </c>
      <c r="CC489" s="249">
        <f t="shared" si="461"/>
        <v>1.1099878562335026</v>
      </c>
      <c r="CD489" s="247">
        <f t="shared" si="462"/>
        <v>170.86285417515489</v>
      </c>
      <c r="CE489" s="248">
        <f t="shared" si="463"/>
        <v>0.95492545910272586</v>
      </c>
      <c r="CF489" s="94">
        <f t="shared" si="464"/>
        <v>5.4755923022726926E-3</v>
      </c>
      <c r="CG489" s="249">
        <f t="shared" si="465"/>
        <v>1.1715695734519878</v>
      </c>
      <c r="CH489" s="247">
        <f t="shared" si="466"/>
        <v>167.84300187174887</v>
      </c>
      <c r="CI489" s="248">
        <f t="shared" si="467"/>
        <v>0.98002800376453125</v>
      </c>
      <c r="CJ489" s="94">
        <f t="shared" si="468"/>
        <v>5.5732099837507683E-3</v>
      </c>
      <c r="CK489" s="249">
        <f t="shared" si="469"/>
        <v>0.98560188286204664</v>
      </c>
      <c r="CL489" s="249">
        <f t="shared" si="470"/>
        <v>0.98560154830516433</v>
      </c>
      <c r="CM489" s="249">
        <f t="shared" si="471"/>
        <v>2755.2052214925698</v>
      </c>
      <c r="CN489" s="265">
        <f t="shared" si="420"/>
        <v>151.1778436568712</v>
      </c>
      <c r="CO489" s="265">
        <f t="shared" si="421"/>
        <v>151.89812492853139</v>
      </c>
      <c r="CP489" s="94">
        <f t="shared" si="472"/>
        <v>1.6064900796561726E-2</v>
      </c>
      <c r="CQ489" s="157">
        <f t="shared" si="422"/>
        <v>2.8784341388981209</v>
      </c>
      <c r="CR489" s="285">
        <f t="shared" si="423"/>
        <v>4.1560916226507985</v>
      </c>
      <c r="CS489" s="157">
        <f t="shared" si="424"/>
        <v>9.3149407363678272</v>
      </c>
      <c r="CT489" s="143">
        <f t="shared" si="425"/>
        <v>281.08353206260034</v>
      </c>
      <c r="CU489" s="247">
        <f t="shared" si="473"/>
        <v>252.77569029004019</v>
      </c>
      <c r="CV489" s="248">
        <f t="shared" si="474"/>
        <v>0.23530914461397306</v>
      </c>
      <c r="CW489" s="94">
        <f t="shared" si="475"/>
        <v>1.6651277024711843E-3</v>
      </c>
      <c r="CX489" s="249">
        <f t="shared" si="476"/>
        <v>0.27647319764879125</v>
      </c>
      <c r="CY489" s="247">
        <f t="shared" si="477"/>
        <v>253.77569029004019</v>
      </c>
      <c r="CZ489" s="248">
        <f t="shared" si="478"/>
        <v>0.22699663719978841</v>
      </c>
      <c r="DA489" s="94">
        <f t="shared" si="479"/>
        <v>1.6106935672911256E-3</v>
      </c>
      <c r="DB489" s="249">
        <f t="shared" si="480"/>
        <v>0.28752803853794012</v>
      </c>
      <c r="DC489" s="247">
        <f t="shared" si="481"/>
        <v>250.74194671076808</v>
      </c>
      <c r="DD489" s="248">
        <f t="shared" si="482"/>
        <v>0.25221465319522302</v>
      </c>
      <c r="DE489" s="94">
        <f t="shared" si="483"/>
        <v>1.7748785971161264E-3</v>
      </c>
      <c r="DF489" s="249">
        <f t="shared" si="484"/>
        <v>0.25399048597060991</v>
      </c>
      <c r="DG489" s="283">
        <f t="shared" si="485"/>
        <v>0.25399000888147449</v>
      </c>
      <c r="DH489" s="282">
        <f t="shared" si="486"/>
        <v>2906.7963517647504</v>
      </c>
      <c r="DI489" s="265">
        <f t="shared" si="426"/>
        <v>224.1120718904626</v>
      </c>
      <c r="DJ489" s="265">
        <f t="shared" si="427"/>
        <v>223.90133581714775</v>
      </c>
      <c r="DK489" s="284">
        <f t="shared" si="487"/>
        <v>167.84300187174887</v>
      </c>
      <c r="DL489" s="248">
        <f t="shared" si="488"/>
        <v>0.98002800376453125</v>
      </c>
      <c r="DM489" s="94">
        <f t="shared" si="489"/>
        <v>5.5732099837507683E-3</v>
      </c>
      <c r="DN489" s="249">
        <f t="shared" si="490"/>
        <v>0.98560188286204664</v>
      </c>
      <c r="DO489" s="247">
        <f t="shared" si="491"/>
        <v>168.84300187174887</v>
      </c>
      <c r="DP489" s="248">
        <f t="shared" si="492"/>
        <v>0.9717154963503466</v>
      </c>
      <c r="DQ489" s="94">
        <f t="shared" si="493"/>
        <v>5.5411058986442182E-3</v>
      </c>
      <c r="DR489" s="249">
        <f t="shared" si="494"/>
        <v>1.0471836000805319</v>
      </c>
      <c r="DS489" s="247">
        <f t="shared" si="495"/>
        <v>167.84299230291012</v>
      </c>
      <c r="DT489" s="248">
        <f t="shared" si="496"/>
        <v>0.98002808330557423</v>
      </c>
      <c r="DU489" s="94">
        <f t="shared" si="497"/>
        <v>5.573210289906279E-3</v>
      </c>
      <c r="DV489" s="249">
        <f t="shared" si="498"/>
        <v>0.98560129359652471</v>
      </c>
      <c r="DW489" s="249">
        <f t="shared" si="499"/>
        <v>0.98560129359600257</v>
      </c>
      <c r="DX489" s="249">
        <f t="shared" si="500"/>
        <v>2755.2102733780948</v>
      </c>
      <c r="DY489" s="265">
        <f t="shared" si="428"/>
        <v>151.18027596252767</v>
      </c>
      <c r="DZ489" s="265">
        <f t="shared" si="429"/>
        <v>151.90055698430126</v>
      </c>
      <c r="EA489" s="94">
        <f t="shared" si="501"/>
        <v>1.5233140347738101E-2</v>
      </c>
      <c r="EB489" s="157">
        <f t="shared" si="430"/>
        <v>2.770960585558079</v>
      </c>
      <c r="EC489" s="285">
        <f t="shared" si="502"/>
        <v>4.0257850283838161</v>
      </c>
      <c r="ED489" s="157">
        <f t="shared" si="503"/>
        <v>9.0228879345143636</v>
      </c>
      <c r="EE489" s="143">
        <f t="shared" si="431"/>
        <v>281.22955846352704</v>
      </c>
    </row>
    <row r="490" spans="1:135" ht="12" customHeight="1" x14ac:dyDescent="0.2">
      <c r="A490" s="200" t="s">
        <v>442</v>
      </c>
      <c r="B490" s="236">
        <f t="shared" si="432"/>
        <v>227.99408694485314</v>
      </c>
      <c r="C490" s="237">
        <f t="shared" si="433"/>
        <v>4.9710080763951874</v>
      </c>
      <c r="D490" s="236">
        <f t="shared" si="434"/>
        <v>2914.8574873394427</v>
      </c>
      <c r="E490" s="236">
        <f t="shared" si="504"/>
        <v>151.1778436568712</v>
      </c>
      <c r="F490" s="237">
        <f t="shared" si="435"/>
        <v>4.995136304518808</v>
      </c>
      <c r="G490" s="238">
        <f t="shared" si="436"/>
        <v>2755.2102733780948</v>
      </c>
      <c r="H490" s="118">
        <v>0</v>
      </c>
      <c r="I490" s="239">
        <f t="shared" si="437"/>
        <v>276.71811449626989</v>
      </c>
      <c r="J490" s="154">
        <f t="shared" si="438"/>
        <v>0.21832258064516141</v>
      </c>
      <c r="K490" s="149">
        <f t="shared" si="376"/>
        <v>0.17225246546549877</v>
      </c>
      <c r="L490" s="240">
        <f t="shared" si="377"/>
        <v>276.71811449626989</v>
      </c>
      <c r="M490" s="154">
        <f t="shared" si="378"/>
        <v>0.63370539715474605</v>
      </c>
      <c r="N490" s="241">
        <f t="shared" si="379"/>
        <v>276.71811449626989</v>
      </c>
      <c r="O490" s="150">
        <f t="shared" si="380"/>
        <v>0.63429988444375329</v>
      </c>
      <c r="P490" s="150">
        <f t="shared" si="381"/>
        <v>3.5100405807616122</v>
      </c>
      <c r="Q490" s="152">
        <f t="shared" si="382"/>
        <v>2.8409788793824486E-5</v>
      </c>
      <c r="R490" s="152">
        <f t="shared" si="439"/>
        <v>593.99953961470737</v>
      </c>
      <c r="S490" s="153">
        <f t="shared" si="383"/>
        <v>0.10774419125225761</v>
      </c>
      <c r="T490" s="154">
        <f t="shared" si="384"/>
        <v>0.67243007911569619</v>
      </c>
      <c r="U490" s="155">
        <f t="shared" si="385"/>
        <v>0.6814210925797094</v>
      </c>
      <c r="V490" s="154">
        <f t="shared" si="386"/>
        <v>4.4055999274713736E-2</v>
      </c>
      <c r="W490" s="154">
        <f t="shared" si="440"/>
        <v>0.32632658613358806</v>
      </c>
      <c r="X490" s="154">
        <f t="shared" si="441"/>
        <v>0.21961693817678887</v>
      </c>
      <c r="Y490" s="154">
        <f t="shared" si="387"/>
        <v>5.8560000000000008</v>
      </c>
      <c r="Z490" s="154">
        <f t="shared" si="388"/>
        <v>34.005687100885787</v>
      </c>
      <c r="AA490" s="154">
        <f t="shared" si="389"/>
        <v>0.67838330653024148</v>
      </c>
      <c r="AB490" s="1"/>
      <c r="AC490" s="242">
        <f t="shared" si="390"/>
        <v>0.11915811162556264</v>
      </c>
      <c r="AD490" s="263">
        <f t="shared" si="391"/>
        <v>2.1965614905580733</v>
      </c>
      <c r="AE490" s="282">
        <f t="shared" si="392"/>
        <v>227.99408694485314</v>
      </c>
      <c r="AF490" s="243">
        <f t="shared" si="393"/>
        <v>0.32650681119233904</v>
      </c>
      <c r="AG490" s="243">
        <f t="shared" si="394"/>
        <v>20.337376384731577</v>
      </c>
      <c r="AH490" s="264">
        <f t="shared" si="395"/>
        <v>1.7280832546723568E-5</v>
      </c>
      <c r="AI490" s="264">
        <f t="shared" si="396"/>
        <v>11687.654064267861</v>
      </c>
      <c r="AJ490" s="245">
        <f t="shared" si="397"/>
        <v>4.4417200220016738E-2</v>
      </c>
      <c r="AK490" s="264">
        <f t="shared" si="398"/>
        <v>54.128604951548262</v>
      </c>
      <c r="AL490" s="246">
        <f t="shared" si="399"/>
        <v>0.98522887171646478</v>
      </c>
      <c r="AM490" s="263">
        <f t="shared" si="400"/>
        <v>3.7466440693017258E-2</v>
      </c>
      <c r="AN490" s="263">
        <f t="shared" si="442"/>
        <v>0.27419362452388524</v>
      </c>
      <c r="AO490" s="263">
        <f t="shared" si="443"/>
        <v>0.18495625915484407</v>
      </c>
      <c r="AP490" s="235">
        <f t="shared" si="401"/>
        <v>7.5926538365513361</v>
      </c>
      <c r="AQ490" s="235">
        <f t="shared" si="402"/>
        <v>62.919073403025884</v>
      </c>
      <c r="AR490" s="263">
        <f t="shared" si="403"/>
        <v>0.89368796577530452</v>
      </c>
      <c r="AT490" s="242">
        <f t="shared" si="404"/>
        <v>0.11697312054088546</v>
      </c>
      <c r="AU490" s="263">
        <f t="shared" si="405"/>
        <v>2.6734086762695246</v>
      </c>
      <c r="AV490" s="282">
        <f t="shared" si="406"/>
        <v>151.1778436568712</v>
      </c>
      <c r="AW490" s="243">
        <f t="shared" si="407"/>
        <v>0.26826885624938496</v>
      </c>
      <c r="AX490" s="243">
        <f t="shared" si="408"/>
        <v>16.709864893541937</v>
      </c>
      <c r="AY490" s="264">
        <f t="shared" si="409"/>
        <v>1.409374548527102E-5</v>
      </c>
      <c r="AZ490" s="264">
        <f t="shared" si="410"/>
        <v>14330.639996282163</v>
      </c>
      <c r="BA490" s="245">
        <f t="shared" si="411"/>
        <v>4.3602726197534518E-2</v>
      </c>
      <c r="BB490" s="264">
        <f t="shared" si="412"/>
        <v>43.658349209393322</v>
      </c>
      <c r="BC490" s="246">
        <f t="shared" si="413"/>
        <v>1.062319158172349</v>
      </c>
      <c r="BD490" s="263">
        <f t="shared" si="414"/>
        <v>3.1406267753205735E-2</v>
      </c>
      <c r="BE490" s="263">
        <f t="shared" si="444"/>
        <v>1.1169058668706273</v>
      </c>
      <c r="BF490" s="263">
        <f t="shared" si="445"/>
        <v>1.0367249466256232</v>
      </c>
      <c r="BG490" s="235">
        <f t="shared" si="415"/>
        <v>51.630443958094915</v>
      </c>
      <c r="BH490" s="235">
        <f t="shared" si="416"/>
        <v>358.64804635159084</v>
      </c>
      <c r="BI490" s="263">
        <f t="shared" si="417"/>
        <v>5.0941538970252225</v>
      </c>
      <c r="BJ490" s="247">
        <f t="shared" si="505"/>
        <v>252.77569029004019</v>
      </c>
      <c r="BK490" s="248">
        <f t="shared" si="446"/>
        <v>0.19700145090850971</v>
      </c>
      <c r="BL490" s="94">
        <f t="shared" si="447"/>
        <v>1.3910670312632662E-3</v>
      </c>
      <c r="BM490" s="249">
        <f t="shared" si="448"/>
        <v>0.26862192827455578</v>
      </c>
      <c r="BN490" s="247">
        <f t="shared" si="449"/>
        <v>253.77569029004019</v>
      </c>
      <c r="BO490" s="248">
        <f t="shared" si="450"/>
        <v>0.18877331790027194</v>
      </c>
      <c r="BP490" s="94">
        <f t="shared" si="451"/>
        <v>1.3366328960832078E-3</v>
      </c>
      <c r="BQ490" s="249">
        <f t="shared" si="452"/>
        <v>0.2794614984400885</v>
      </c>
      <c r="BR490" s="247">
        <f t="shared" si="453"/>
        <v>249.10301452163066</v>
      </c>
      <c r="BS490" s="248">
        <f t="shared" si="454"/>
        <v>0.22722071562711524</v>
      </c>
      <c r="BT490" s="94">
        <f t="shared" si="455"/>
        <v>1.5883374598701433E-3</v>
      </c>
      <c r="BU490" s="249">
        <f t="shared" si="456"/>
        <v>0.22881170158762879</v>
      </c>
      <c r="BV490" s="283">
        <f t="shared" si="457"/>
        <v>0.22881037733730708</v>
      </c>
      <c r="BW490" s="282">
        <f t="shared" si="458"/>
        <v>2915.1765236442207</v>
      </c>
      <c r="BX490" s="265">
        <f t="shared" si="418"/>
        <v>228.14654106261236</v>
      </c>
      <c r="BY490" s="265">
        <f t="shared" si="419"/>
        <v>227.95649437869324</v>
      </c>
      <c r="BZ490" s="284">
        <f t="shared" si="506"/>
        <v>167.84300187174887</v>
      </c>
      <c r="CA490" s="248">
        <f t="shared" si="459"/>
        <v>0.89583890796142651</v>
      </c>
      <c r="CB490" s="94">
        <f t="shared" si="460"/>
        <v>4.9995237906323223E-3</v>
      </c>
      <c r="CC490" s="249">
        <f t="shared" si="461"/>
        <v>1.0296927461286369</v>
      </c>
      <c r="CD490" s="247">
        <f t="shared" si="462"/>
        <v>168.84300187174887</v>
      </c>
      <c r="CE490" s="248">
        <f t="shared" si="463"/>
        <v>0.88761077495318885</v>
      </c>
      <c r="CF490" s="94">
        <f t="shared" si="464"/>
        <v>4.9674197055257713E-3</v>
      </c>
      <c r="CG490" s="249">
        <f t="shared" si="465"/>
        <v>1.091479903073201</v>
      </c>
      <c r="CH490" s="247">
        <f t="shared" si="466"/>
        <v>166.00347142031131</v>
      </c>
      <c r="CI490" s="248">
        <f t="shared" si="467"/>
        <v>0.91097480918855844</v>
      </c>
      <c r="CJ490" s="94">
        <f t="shared" si="468"/>
        <v>5.0580123052924517E-3</v>
      </c>
      <c r="CK490" s="249">
        <f t="shared" si="469"/>
        <v>0.91603338942136003</v>
      </c>
      <c r="CL490" s="249">
        <f t="shared" si="470"/>
        <v>0.91603310545760541</v>
      </c>
      <c r="CM490" s="249">
        <f t="shared" si="471"/>
        <v>2753.9279725302613</v>
      </c>
      <c r="CN490" s="265">
        <f t="shared" si="420"/>
        <v>150.564173829303</v>
      </c>
      <c r="CO490" s="265">
        <f t="shared" si="421"/>
        <v>151.23114937891719</v>
      </c>
      <c r="CP490" s="94">
        <f t="shared" si="472"/>
        <v>1.4472347924464921E-2</v>
      </c>
      <c r="CQ490" s="157">
        <f t="shared" si="422"/>
        <v>2.6431227168440836</v>
      </c>
      <c r="CR490" s="285">
        <f t="shared" si="423"/>
        <v>3.8024388315272155</v>
      </c>
      <c r="CS490" s="157">
        <f t="shared" si="424"/>
        <v>8.5223078760590028</v>
      </c>
      <c r="CT490" s="143">
        <f t="shared" si="425"/>
        <v>272.45696055824038</v>
      </c>
      <c r="CU490" s="247">
        <f t="shared" si="473"/>
        <v>249.10301452163066</v>
      </c>
      <c r="CV490" s="248">
        <f t="shared" si="474"/>
        <v>0.19215937425643226</v>
      </c>
      <c r="CW490" s="94">
        <f t="shared" si="475"/>
        <v>1.3270458457688653E-3</v>
      </c>
      <c r="CX490" s="249">
        <f t="shared" si="476"/>
        <v>0.22921918884622147</v>
      </c>
      <c r="CY490" s="247">
        <f t="shared" si="477"/>
        <v>250.10301452163066</v>
      </c>
      <c r="CZ490" s="248">
        <f t="shared" si="478"/>
        <v>0.18393124124819449</v>
      </c>
      <c r="DA490" s="94">
        <f t="shared" si="479"/>
        <v>1.2737434001305493E-3</v>
      </c>
      <c r="DB490" s="249">
        <f t="shared" si="480"/>
        <v>0.24005875901175422</v>
      </c>
      <c r="DC490" s="247">
        <f t="shared" si="481"/>
        <v>247.23424415174227</v>
      </c>
      <c r="DD490" s="248">
        <f t="shared" si="482"/>
        <v>0.20753586542172753</v>
      </c>
      <c r="DE490" s="94">
        <f t="shared" si="483"/>
        <v>1.4258381560083877E-3</v>
      </c>
      <c r="DF490" s="249">
        <f t="shared" si="484"/>
        <v>0.20896252129854781</v>
      </c>
      <c r="DG490" s="283">
        <f t="shared" si="485"/>
        <v>0.20896211243814186</v>
      </c>
      <c r="DH490" s="282">
        <f t="shared" si="486"/>
        <v>2907.0877131136835</v>
      </c>
      <c r="DI490" s="265">
        <f t="shared" si="426"/>
        <v>224.25117833655074</v>
      </c>
      <c r="DJ490" s="265">
        <f t="shared" si="427"/>
        <v>224.07625707684923</v>
      </c>
      <c r="DK490" s="284">
        <f t="shared" si="487"/>
        <v>166.00347142031131</v>
      </c>
      <c r="DL490" s="248">
        <f t="shared" si="488"/>
        <v>0.91097480918855844</v>
      </c>
      <c r="DM490" s="94">
        <f t="shared" si="489"/>
        <v>5.0580123052924517E-3</v>
      </c>
      <c r="DN490" s="249">
        <f t="shared" si="490"/>
        <v>0.91603338942136003</v>
      </c>
      <c r="DO490" s="247">
        <f t="shared" si="491"/>
        <v>167.00347142031131</v>
      </c>
      <c r="DP490" s="248">
        <f t="shared" si="492"/>
        <v>0.90274667618032078</v>
      </c>
      <c r="DQ490" s="94">
        <f t="shared" si="493"/>
        <v>5.0263079812655305E-3</v>
      </c>
      <c r="DR490" s="249">
        <f t="shared" si="494"/>
        <v>0.97782054636592408</v>
      </c>
      <c r="DS490" s="247">
        <f t="shared" si="495"/>
        <v>166.00346331250432</v>
      </c>
      <c r="DT490" s="248">
        <f t="shared" si="496"/>
        <v>0.91097487590067283</v>
      </c>
      <c r="DU490" s="94">
        <f t="shared" si="497"/>
        <v>5.0580125614683447E-3</v>
      </c>
      <c r="DV490" s="249">
        <f t="shared" si="498"/>
        <v>0.916032888463017</v>
      </c>
      <c r="DW490" s="249">
        <f t="shared" si="499"/>
        <v>0.91603288846257902</v>
      </c>
      <c r="DX490" s="249">
        <f t="shared" si="500"/>
        <v>2753.9330247183484</v>
      </c>
      <c r="DY490" s="265">
        <f t="shared" si="428"/>
        <v>150.56660627045514</v>
      </c>
      <c r="DZ490" s="265">
        <f t="shared" si="429"/>
        <v>151.23358162737821</v>
      </c>
      <c r="EA490" s="94">
        <f t="shared" si="501"/>
        <v>1.3747002403719776E-2</v>
      </c>
      <c r="EB490" s="157">
        <f t="shared" si="430"/>
        <v>2.5457924331990678</v>
      </c>
      <c r="EC490" s="285">
        <f t="shared" si="502"/>
        <v>3.6845344365039465</v>
      </c>
      <c r="ED490" s="157">
        <f t="shared" si="503"/>
        <v>8.258051802825813</v>
      </c>
      <c r="EE490" s="143">
        <f t="shared" si="431"/>
        <v>272.589088594857</v>
      </c>
    </row>
    <row r="491" spans="1:135" ht="12" customHeight="1" x14ac:dyDescent="0.2">
      <c r="A491" s="200" t="s">
        <v>442</v>
      </c>
      <c r="B491" s="236">
        <f t="shared" si="432"/>
        <v>228.14654106261236</v>
      </c>
      <c r="C491" s="237">
        <f t="shared" si="433"/>
        <v>4.9704667903456716</v>
      </c>
      <c r="D491" s="236">
        <f t="shared" si="434"/>
        <v>2915.1765236442207</v>
      </c>
      <c r="E491" s="236">
        <f t="shared" si="504"/>
        <v>150.564173829303</v>
      </c>
      <c r="F491" s="237">
        <f t="shared" si="435"/>
        <v>4.9955728880109023</v>
      </c>
      <c r="G491" s="238">
        <f t="shared" si="436"/>
        <v>2753.9330247183484</v>
      </c>
      <c r="H491" s="118">
        <v>0</v>
      </c>
      <c r="I491" s="239">
        <f t="shared" si="437"/>
        <v>268.46006269344406</v>
      </c>
      <c r="J491" s="154">
        <f t="shared" si="438"/>
        <v>0.23045161290322594</v>
      </c>
      <c r="K491" s="149">
        <f t="shared" si="376"/>
        <v>0.17058256157402665</v>
      </c>
      <c r="L491" s="240">
        <f t="shared" si="377"/>
        <v>268.46006269344406</v>
      </c>
      <c r="M491" s="154">
        <f t="shared" si="378"/>
        <v>0.64570202383472408</v>
      </c>
      <c r="N491" s="241">
        <f t="shared" si="379"/>
        <v>268.46006269344406</v>
      </c>
      <c r="O491" s="150">
        <f t="shared" si="380"/>
        <v>0.6225151003855689</v>
      </c>
      <c r="P491" s="150">
        <f t="shared" si="381"/>
        <v>3.4448268367672954</v>
      </c>
      <c r="Q491" s="152">
        <f t="shared" si="382"/>
        <v>2.8134369706297943E-5</v>
      </c>
      <c r="R491" s="152">
        <f t="shared" si="439"/>
        <v>599.81444902621104</v>
      </c>
      <c r="S491" s="153">
        <f t="shared" si="383"/>
        <v>0.10669966371084083</v>
      </c>
      <c r="T491" s="154">
        <f t="shared" si="384"/>
        <v>0.65353909955217493</v>
      </c>
      <c r="U491" s="155">
        <f t="shared" si="385"/>
        <v>0.68142285405127989</v>
      </c>
      <c r="V491" s="154">
        <f t="shared" si="386"/>
        <v>4.3642526878998049E-2</v>
      </c>
      <c r="W491" s="154">
        <f t="shared" si="440"/>
        <v>0.32049808098936799</v>
      </c>
      <c r="X491" s="154">
        <f t="shared" si="441"/>
        <v>0.21558498839340701</v>
      </c>
      <c r="Y491" s="154">
        <f t="shared" si="387"/>
        <v>5.8560000000000008</v>
      </c>
      <c r="Z491" s="154">
        <f t="shared" si="388"/>
        <v>33.686538445877716</v>
      </c>
      <c r="AA491" s="154">
        <f t="shared" si="389"/>
        <v>0.6720165738358912</v>
      </c>
      <c r="AB491" s="1"/>
      <c r="AC491" s="242">
        <f t="shared" si="390"/>
        <v>0.11916235864583948</v>
      </c>
      <c r="AD491" s="263">
        <f t="shared" si="391"/>
        <v>2.1955845781657968</v>
      </c>
      <c r="AE491" s="282">
        <f t="shared" si="392"/>
        <v>228.14654106261236</v>
      </c>
      <c r="AF491" s="243">
        <f t="shared" si="393"/>
        <v>0.32665208846982974</v>
      </c>
      <c r="AG491" s="243">
        <f t="shared" si="394"/>
        <v>20.346425380253869</v>
      </c>
      <c r="AH491" s="264">
        <f t="shared" si="395"/>
        <v>1.7287160855806552E-5</v>
      </c>
      <c r="AI491" s="264">
        <f t="shared" si="396"/>
        <v>11683.375566023376</v>
      </c>
      <c r="AJ491" s="245">
        <f t="shared" si="397"/>
        <v>4.441878333296978E-2</v>
      </c>
      <c r="AK491" s="264">
        <f t="shared" si="398"/>
        <v>54.154619258847326</v>
      </c>
      <c r="AL491" s="246">
        <f t="shared" si="399"/>
        <v>0.98510430615228306</v>
      </c>
      <c r="AM491" s="263">
        <f t="shared" si="400"/>
        <v>3.7479345936605513E-2</v>
      </c>
      <c r="AN491" s="263">
        <f t="shared" si="442"/>
        <v>0.26931780870471844</v>
      </c>
      <c r="AO491" s="263">
        <f t="shared" si="443"/>
        <v>0.18155312395971593</v>
      </c>
      <c r="AP491" s="235">
        <f t="shared" si="401"/>
        <v>7.4503919232328277</v>
      </c>
      <c r="AQ491" s="235">
        <f t="shared" si="402"/>
        <v>61.761438612345138</v>
      </c>
      <c r="AR491" s="263">
        <f t="shared" si="403"/>
        <v>0.87724518896313919</v>
      </c>
      <c r="AT491" s="242">
        <f t="shared" si="404"/>
        <v>0.11695527973394157</v>
      </c>
      <c r="AU491" s="263">
        <f t="shared" si="405"/>
        <v>2.6736288072788765</v>
      </c>
      <c r="AV491" s="282">
        <f t="shared" si="406"/>
        <v>150.564173829303</v>
      </c>
      <c r="AW491" s="243">
        <f t="shared" si="407"/>
        <v>0.26824676855570695</v>
      </c>
      <c r="AX491" s="243">
        <f t="shared" si="408"/>
        <v>16.708489100681263</v>
      </c>
      <c r="AY491" s="264">
        <f t="shared" si="409"/>
        <v>1.4068296725097877E-5</v>
      </c>
      <c r="AZ491" s="264">
        <f t="shared" si="410"/>
        <v>14356.563320727148</v>
      </c>
      <c r="BA491" s="245">
        <f t="shared" si="411"/>
        <v>4.3596075884909526E-2</v>
      </c>
      <c r="BB491" s="264">
        <f t="shared" si="412"/>
        <v>43.648096387405566</v>
      </c>
      <c r="BC491" s="246">
        <f t="shared" si="413"/>
        <v>1.0630739479637197</v>
      </c>
      <c r="BD491" s="263">
        <f t="shared" si="414"/>
        <v>3.1362266223659285E-2</v>
      </c>
      <c r="BE491" s="263">
        <f t="shared" si="444"/>
        <v>1.128360284048485</v>
      </c>
      <c r="BF491" s="263">
        <f t="shared" si="445"/>
        <v>1.0406061756619018</v>
      </c>
      <c r="BG491" s="235">
        <f t="shared" si="415"/>
        <v>51.9134650720327</v>
      </c>
      <c r="BH491" s="235">
        <f t="shared" si="416"/>
        <v>360.10880124341486</v>
      </c>
      <c r="BI491" s="263">
        <f t="shared" si="417"/>
        <v>5.1149021216439872</v>
      </c>
      <c r="BJ491" s="247">
        <f t="shared" si="505"/>
        <v>249.10301452163066</v>
      </c>
      <c r="BK491" s="248">
        <f t="shared" si="446"/>
        <v>0.15777757110294779</v>
      </c>
      <c r="BL491" s="94">
        <f t="shared" si="447"/>
        <v>1.0874611265482231E-3</v>
      </c>
      <c r="BM491" s="249">
        <f t="shared" si="448"/>
        <v>0.22297971081785911</v>
      </c>
      <c r="BN491" s="247">
        <f t="shared" si="449"/>
        <v>250.10301452163066</v>
      </c>
      <c r="BO491" s="248">
        <f t="shared" si="450"/>
        <v>0.14962666040093825</v>
      </c>
      <c r="BP491" s="94">
        <f t="shared" si="451"/>
        <v>1.0341586809099073E-3</v>
      </c>
      <c r="BQ491" s="249">
        <f t="shared" si="452"/>
        <v>0.23361984601302493</v>
      </c>
      <c r="BR491" s="247">
        <f t="shared" si="453"/>
        <v>245.70068521726853</v>
      </c>
      <c r="BS491" s="248">
        <f t="shared" si="454"/>
        <v>0.18550965344163367</v>
      </c>
      <c r="BT491" s="94">
        <f t="shared" si="455"/>
        <v>1.2665334581751842E-3</v>
      </c>
      <c r="BU491" s="249">
        <f t="shared" si="456"/>
        <v>0.18677846704097159</v>
      </c>
      <c r="BV491" s="283">
        <f t="shared" si="457"/>
        <v>0.18677732697039023</v>
      </c>
      <c r="BW491" s="282">
        <f t="shared" si="458"/>
        <v>2915.4369521654548</v>
      </c>
      <c r="BX491" s="265">
        <f t="shared" si="418"/>
        <v>228.27077195635516</v>
      </c>
      <c r="BY491" s="265">
        <f t="shared" si="419"/>
        <v>228.1136331675242</v>
      </c>
      <c r="BZ491" s="284">
        <f t="shared" si="506"/>
        <v>166.00347142031131</v>
      </c>
      <c r="CA491" s="248">
        <f t="shared" si="459"/>
        <v>0.83511452629959337</v>
      </c>
      <c r="CB491" s="94">
        <f t="shared" si="460"/>
        <v>4.5571359719705313E-3</v>
      </c>
      <c r="CC491" s="249">
        <f t="shared" si="461"/>
        <v>0.9578356934792891</v>
      </c>
      <c r="CD491" s="247">
        <f t="shared" si="462"/>
        <v>167.00347142031131</v>
      </c>
      <c r="CE491" s="248">
        <f t="shared" si="463"/>
        <v>0.82696361559758391</v>
      </c>
      <c r="CF491" s="94">
        <f t="shared" si="464"/>
        <v>4.5254316479436101E-3</v>
      </c>
      <c r="CG491" s="249">
        <f t="shared" si="465"/>
        <v>1.0198745063095516</v>
      </c>
      <c r="CH491" s="247">
        <f t="shared" si="466"/>
        <v>164.32073675063845</v>
      </c>
      <c r="CI491" s="248">
        <f t="shared" si="467"/>
        <v>0.84883034632727239</v>
      </c>
      <c r="CJ491" s="94">
        <f t="shared" si="468"/>
        <v>4.6099990797176128E-3</v>
      </c>
      <c r="CK491" s="249">
        <f t="shared" si="469"/>
        <v>0.85344083226446021</v>
      </c>
      <c r="CL491" s="249">
        <f t="shared" si="470"/>
        <v>0.85344058883572504</v>
      </c>
      <c r="CM491" s="249">
        <f t="shared" si="471"/>
        <v>2752.7379979540283</v>
      </c>
      <c r="CN491" s="265">
        <f t="shared" si="420"/>
        <v>149.99252802436803</v>
      </c>
      <c r="CO491" s="265">
        <f t="shared" si="421"/>
        <v>150.61183870164263</v>
      </c>
      <c r="CP491" s="94">
        <f t="shared" si="472"/>
        <v>1.3081915223163272E-2</v>
      </c>
      <c r="CQ491" s="157">
        <f t="shared" si="422"/>
        <v>2.4314622551708904</v>
      </c>
      <c r="CR491" s="285">
        <f t="shared" si="423"/>
        <v>3.4847623296289041</v>
      </c>
      <c r="CS491" s="157">
        <f t="shared" si="424"/>
        <v>7.8103077429550938</v>
      </c>
      <c r="CT491" s="143">
        <f t="shared" si="425"/>
        <v>264.55490882196654</v>
      </c>
      <c r="CU491" s="247">
        <f t="shared" si="473"/>
        <v>245.70068521726853</v>
      </c>
      <c r="CV491" s="248">
        <f t="shared" si="474"/>
        <v>0.15367909295761359</v>
      </c>
      <c r="CW491" s="94">
        <f t="shared" si="475"/>
        <v>1.0375166956871572E-3</v>
      </c>
      <c r="CX491" s="249">
        <f t="shared" si="476"/>
        <v>0.18712861149369792</v>
      </c>
      <c r="CY491" s="247">
        <f t="shared" si="477"/>
        <v>246.70068521726853</v>
      </c>
      <c r="CZ491" s="248">
        <f t="shared" si="478"/>
        <v>0.14552818225560407</v>
      </c>
      <c r="DA491" s="94">
        <f t="shared" si="479"/>
        <v>9.8524853947337351E-4</v>
      </c>
      <c r="DB491" s="249">
        <f t="shared" si="480"/>
        <v>0.19776874668886377</v>
      </c>
      <c r="DC491" s="247">
        <f t="shared" si="481"/>
        <v>243.98060552488727</v>
      </c>
      <c r="DD491" s="248">
        <f t="shared" si="482"/>
        <v>0.16769930893055329</v>
      </c>
      <c r="DE491" s="94">
        <f t="shared" si="483"/>
        <v>1.1267175839263616E-3</v>
      </c>
      <c r="DF491" s="249">
        <f t="shared" si="484"/>
        <v>0.16882673102030205</v>
      </c>
      <c r="DG491" s="283">
        <f t="shared" si="485"/>
        <v>0.16882637876739084</v>
      </c>
      <c r="DH491" s="282">
        <f t="shared" si="486"/>
        <v>2907.3231121574586</v>
      </c>
      <c r="DI491" s="265">
        <f t="shared" si="426"/>
        <v>224.36333540975806</v>
      </c>
      <c r="DJ491" s="265">
        <f t="shared" si="427"/>
        <v>224.21979624330365</v>
      </c>
      <c r="DK491" s="284">
        <f t="shared" si="487"/>
        <v>164.32073675063845</v>
      </c>
      <c r="DL491" s="248">
        <f t="shared" si="488"/>
        <v>0.84883034632727239</v>
      </c>
      <c r="DM491" s="94">
        <f t="shared" si="489"/>
        <v>4.6099990797176128E-3</v>
      </c>
      <c r="DN491" s="249">
        <f t="shared" si="490"/>
        <v>0.85344083226446021</v>
      </c>
      <c r="DO491" s="247">
        <f t="shared" si="491"/>
        <v>165.32073675063845</v>
      </c>
      <c r="DP491" s="248">
        <f t="shared" si="492"/>
        <v>0.84067943562526293</v>
      </c>
      <c r="DQ491" s="94">
        <f t="shared" si="493"/>
        <v>4.57865752359796E-3</v>
      </c>
      <c r="DR491" s="249">
        <f t="shared" si="494"/>
        <v>0.91547964509472279</v>
      </c>
      <c r="DS491" s="247">
        <f t="shared" si="495"/>
        <v>164.32072981742732</v>
      </c>
      <c r="DT491" s="248">
        <f t="shared" si="496"/>
        <v>0.84883040283925715</v>
      </c>
      <c r="DU491" s="94">
        <f t="shared" si="497"/>
        <v>4.6099992962713261E-3</v>
      </c>
      <c r="DV491" s="249">
        <f t="shared" si="498"/>
        <v>0.85344040213627292</v>
      </c>
      <c r="DW491" s="249">
        <f t="shared" si="499"/>
        <v>0.85344040213590078</v>
      </c>
      <c r="DX491" s="249">
        <f t="shared" si="500"/>
        <v>2752.743050402436</v>
      </c>
      <c r="DY491" s="265">
        <f t="shared" si="428"/>
        <v>149.99496058067959</v>
      </c>
      <c r="DZ491" s="265">
        <f t="shared" si="429"/>
        <v>150.61427110402889</v>
      </c>
      <c r="EA491" s="94">
        <f t="shared" si="501"/>
        <v>1.244616469049651E-2</v>
      </c>
      <c r="EB491" s="157">
        <f t="shared" si="430"/>
        <v>2.3431006192672506</v>
      </c>
      <c r="EC491" s="285">
        <f t="shared" si="502"/>
        <v>3.3778135648614107</v>
      </c>
      <c r="ED491" s="157">
        <f t="shared" si="503"/>
        <v>7.5706062406572334</v>
      </c>
      <c r="EE491" s="143">
        <f t="shared" si="431"/>
        <v>264.67475957311547</v>
      </c>
    </row>
    <row r="492" spans="1:135" ht="12" customHeight="1" x14ac:dyDescent="0.2">
      <c r="A492" s="200" t="s">
        <v>442</v>
      </c>
      <c r="B492" s="236">
        <f t="shared" si="432"/>
        <v>228.27077195635516</v>
      </c>
      <c r="C492" s="237">
        <f t="shared" si="433"/>
        <v>4.9699252441530835</v>
      </c>
      <c r="D492" s="236">
        <f t="shared" si="434"/>
        <v>2915.4369521654548</v>
      </c>
      <c r="E492" s="236">
        <f t="shared" si="504"/>
        <v>149.99252802436803</v>
      </c>
      <c r="F492" s="237">
        <f t="shared" si="435"/>
        <v>4.996009368974776</v>
      </c>
      <c r="G492" s="238">
        <f t="shared" si="436"/>
        <v>2752.743050402436</v>
      </c>
      <c r="H492" s="118">
        <v>0</v>
      </c>
      <c r="I492" s="239">
        <f t="shared" si="437"/>
        <v>260.88945645278682</v>
      </c>
      <c r="J492" s="154">
        <f t="shared" si="438"/>
        <v>0.24258064516129046</v>
      </c>
      <c r="K492" s="149">
        <f t="shared" si="376"/>
        <v>0.16904526544794921</v>
      </c>
      <c r="L492" s="240">
        <f t="shared" si="377"/>
        <v>260.88945645278682</v>
      </c>
      <c r="M492" s="154">
        <f t="shared" si="378"/>
        <v>0.65723711899895809</v>
      </c>
      <c r="N492" s="241">
        <f t="shared" si="379"/>
        <v>260.88945645278682</v>
      </c>
      <c r="O492" s="150">
        <f t="shared" si="380"/>
        <v>0.61158940748639523</v>
      </c>
      <c r="P492" s="150">
        <f t="shared" si="381"/>
        <v>3.3843670662556407</v>
      </c>
      <c r="Q492" s="152">
        <f t="shared" si="382"/>
        <v>2.7880821763530328E-5</v>
      </c>
      <c r="R492" s="152">
        <f t="shared" si="439"/>
        <v>605.26915623974855</v>
      </c>
      <c r="S492" s="153">
        <f t="shared" si="383"/>
        <v>0.10573808253769576</v>
      </c>
      <c r="T492" s="154">
        <f t="shared" si="384"/>
        <v>0.63628256002611872</v>
      </c>
      <c r="U492" s="155">
        <f t="shared" si="385"/>
        <v>0.68144270586832034</v>
      </c>
      <c r="V492" s="154">
        <f t="shared" si="386"/>
        <v>4.3263474195134585E-2</v>
      </c>
      <c r="W492" s="154">
        <f t="shared" si="440"/>
        <v>0.31506486589170601</v>
      </c>
      <c r="X492" s="154">
        <f t="shared" si="441"/>
        <v>0.21183377903612788</v>
      </c>
      <c r="Y492" s="154">
        <f t="shared" si="387"/>
        <v>5.8560000000000008</v>
      </c>
      <c r="Z492" s="154">
        <f t="shared" si="388"/>
        <v>33.393957476783449</v>
      </c>
      <c r="AA492" s="154">
        <f t="shared" si="389"/>
        <v>0.66617984291929044</v>
      </c>
      <c r="AB492" s="1"/>
      <c r="AC492" s="242">
        <f t="shared" si="390"/>
        <v>0.11916581918533321</v>
      </c>
      <c r="AD492" s="263">
        <f t="shared" si="391"/>
        <v>2.1947436310758515</v>
      </c>
      <c r="AE492" s="282">
        <f t="shared" si="392"/>
        <v>228.27077195635516</v>
      </c>
      <c r="AF492" s="243">
        <f t="shared" si="393"/>
        <v>0.32677724984145134</v>
      </c>
      <c r="AG492" s="243">
        <f t="shared" si="394"/>
        <v>20.354221401152184</v>
      </c>
      <c r="AH492" s="264">
        <f t="shared" si="395"/>
        <v>1.7292317639078864E-5</v>
      </c>
      <c r="AI492" s="264">
        <f t="shared" si="396"/>
        <v>11679.891438739776</v>
      </c>
      <c r="AJ492" s="245">
        <f t="shared" si="397"/>
        <v>4.442007327851747E-2</v>
      </c>
      <c r="AK492" s="264">
        <f t="shared" si="398"/>
        <v>54.176942649897427</v>
      </c>
      <c r="AL492" s="246">
        <f t="shared" si="399"/>
        <v>0.98500202870860365</v>
      </c>
      <c r="AM492" s="263">
        <f t="shared" si="400"/>
        <v>3.7489830050722379E-2</v>
      </c>
      <c r="AN492" s="263">
        <f t="shared" si="442"/>
        <v>0.26477128994962185</v>
      </c>
      <c r="AO492" s="263">
        <f t="shared" si="443"/>
        <v>0.17838743360278647</v>
      </c>
      <c r="AP492" s="235">
        <f t="shared" si="401"/>
        <v>7.3184310990351236</v>
      </c>
      <c r="AQ492" s="235">
        <f t="shared" si="402"/>
        <v>60.684494855513634</v>
      </c>
      <c r="AR492" s="263">
        <f t="shared" si="403"/>
        <v>0.86194852893236917</v>
      </c>
      <c r="AT492" s="242">
        <f t="shared" si="404"/>
        <v>0.11693865480313921</v>
      </c>
      <c r="AU492" s="263">
        <f t="shared" si="405"/>
        <v>2.6738488854786877</v>
      </c>
      <c r="AV492" s="282">
        <f t="shared" si="406"/>
        <v>149.99252802436803</v>
      </c>
      <c r="AW492" s="243">
        <f t="shared" si="407"/>
        <v>0.26822468979641373</v>
      </c>
      <c r="AX492" s="243">
        <f t="shared" si="408"/>
        <v>16.707113864323361</v>
      </c>
      <c r="AY492" s="264">
        <f t="shared" si="409"/>
        <v>1.4044590867094023E-5</v>
      </c>
      <c r="AZ492" s="264">
        <f t="shared" si="410"/>
        <v>14380.795756881758</v>
      </c>
      <c r="BA492" s="245">
        <f t="shared" si="411"/>
        <v>4.3589878800464173E-2</v>
      </c>
      <c r="BB492" s="264">
        <f t="shared" si="412"/>
        <v>43.638299847098324</v>
      </c>
      <c r="BC492" s="246">
        <f t="shared" si="413"/>
        <v>1.0637797045452753</v>
      </c>
      <c r="BD492" s="263">
        <f t="shared" si="414"/>
        <v>3.1321357652126257E-2</v>
      </c>
      <c r="BE492" s="263">
        <f t="shared" si="444"/>
        <v>1.1429859687795823</v>
      </c>
      <c r="BF492" s="263">
        <f t="shared" si="445"/>
        <v>1.0456647302204856</v>
      </c>
      <c r="BG492" s="235">
        <f t="shared" si="415"/>
        <v>52.250122197943099</v>
      </c>
      <c r="BH492" s="235">
        <f t="shared" si="416"/>
        <v>361.97132724256335</v>
      </c>
      <c r="BI492" s="263">
        <f t="shared" si="417"/>
        <v>5.1413570101437056</v>
      </c>
      <c r="BJ492" s="247">
        <f t="shared" si="505"/>
        <v>245.70068521726853</v>
      </c>
      <c r="BK492" s="248">
        <f t="shared" si="446"/>
        <v>0.1227270456989128</v>
      </c>
      <c r="BL492" s="94">
        <f t="shared" si="447"/>
        <v>8.270503993614537E-4</v>
      </c>
      <c r="BM492" s="249">
        <f t="shared" si="448"/>
        <v>0.18222279753526835</v>
      </c>
      <c r="BN492" s="247">
        <f t="shared" si="449"/>
        <v>246.70068521726853</v>
      </c>
      <c r="BO492" s="248">
        <f t="shared" si="450"/>
        <v>0.11464692889447235</v>
      </c>
      <c r="BP492" s="94">
        <f t="shared" si="451"/>
        <v>7.7478224314766998E-4</v>
      </c>
      <c r="BQ492" s="249">
        <f t="shared" si="452"/>
        <v>0.19267739904748032</v>
      </c>
      <c r="BR492" s="247">
        <f t="shared" si="453"/>
        <v>242.54424554789875</v>
      </c>
      <c r="BS492" s="248">
        <f t="shared" si="454"/>
        <v>0.14823144691358991</v>
      </c>
      <c r="BT492" s="94">
        <f t="shared" si="455"/>
        <v>9.900598412661448E-4</v>
      </c>
      <c r="BU492" s="249">
        <f t="shared" si="456"/>
        <v>0.14922347859466925</v>
      </c>
      <c r="BV492" s="283">
        <f t="shared" si="457"/>
        <v>0.14922249267476267</v>
      </c>
      <c r="BW492" s="282">
        <f t="shared" si="458"/>
        <v>2915.6450169971586</v>
      </c>
      <c r="BX492" s="265">
        <f t="shared" si="418"/>
        <v>228.36978630456429</v>
      </c>
      <c r="BY492" s="265">
        <f t="shared" si="419"/>
        <v>228.24170973604424</v>
      </c>
      <c r="BZ492" s="284">
        <f t="shared" si="506"/>
        <v>164.32073675063845</v>
      </c>
      <c r="CA492" s="248">
        <f t="shared" si="459"/>
        <v>0.78028653484862698</v>
      </c>
      <c r="CB492" s="94">
        <f t="shared" si="460"/>
        <v>4.1705160209038819E-3</v>
      </c>
      <c r="CC492" s="249">
        <f t="shared" si="461"/>
        <v>0.89350258316072162</v>
      </c>
      <c r="CD492" s="247">
        <f t="shared" si="462"/>
        <v>165.32073675063845</v>
      </c>
      <c r="CE492" s="248">
        <f t="shared" si="463"/>
        <v>0.77220641804418655</v>
      </c>
      <c r="CF492" s="94">
        <f t="shared" si="464"/>
        <v>4.13917446478423E-3</v>
      </c>
      <c r="CG492" s="249">
        <f t="shared" si="465"/>
        <v>0.95586226818698083</v>
      </c>
      <c r="CH492" s="247">
        <f t="shared" si="466"/>
        <v>162.77335824859492</v>
      </c>
      <c r="CI492" s="248">
        <f t="shared" si="467"/>
        <v>0.79278953388581874</v>
      </c>
      <c r="CJ492" s="94">
        <f t="shared" si="468"/>
        <v>4.2185913311589907E-3</v>
      </c>
      <c r="CK492" s="249">
        <f t="shared" si="469"/>
        <v>0.79700854715688241</v>
      </c>
      <c r="CL492" s="249">
        <f t="shared" si="470"/>
        <v>0.79700833618693001</v>
      </c>
      <c r="CM492" s="249">
        <f t="shared" si="471"/>
        <v>2751.6267083463918</v>
      </c>
      <c r="CN492" s="265">
        <f t="shared" si="420"/>
        <v>149.45877027656664</v>
      </c>
      <c r="CO492" s="265">
        <f t="shared" si="421"/>
        <v>150.03530448910465</v>
      </c>
      <c r="CP492" s="94">
        <f t="shared" si="472"/>
        <v>1.1861910251896358E-2</v>
      </c>
      <c r="CQ492" s="157">
        <f t="shared" si="422"/>
        <v>2.2405322811458812</v>
      </c>
      <c r="CR492" s="285">
        <f t="shared" si="423"/>
        <v>3.1986252312294225</v>
      </c>
      <c r="CS492" s="157">
        <f t="shared" si="424"/>
        <v>7.1689960597522493</v>
      </c>
      <c r="CT492" s="143">
        <f t="shared" si="425"/>
        <v>257.30495842291072</v>
      </c>
      <c r="CU492" s="247">
        <f t="shared" si="473"/>
        <v>242.54424554789875</v>
      </c>
      <c r="CV492" s="248">
        <f t="shared" si="474"/>
        <v>0.11926828414690439</v>
      </c>
      <c r="CW492" s="94">
        <f t="shared" si="475"/>
        <v>7.8839173555885183E-4</v>
      </c>
      <c r="CX492" s="249">
        <f t="shared" si="476"/>
        <v>0.14952731252708004</v>
      </c>
      <c r="CY492" s="247">
        <f t="shared" si="477"/>
        <v>243.54424554789875</v>
      </c>
      <c r="CZ492" s="248">
        <f t="shared" si="478"/>
        <v>0.11118816734246398</v>
      </c>
      <c r="DA492" s="94">
        <f t="shared" si="479"/>
        <v>7.3707107552798301E-4</v>
      </c>
      <c r="DB492" s="249">
        <f t="shared" si="480"/>
        <v>0.15998191403929199</v>
      </c>
      <c r="DC492" s="247">
        <f t="shared" si="481"/>
        <v>240.9586125530692</v>
      </c>
      <c r="DD492" s="248">
        <f t="shared" si="482"/>
        <v>0.13208038395410188</v>
      </c>
      <c r="DE492" s="94">
        <f t="shared" si="483"/>
        <v>8.6915751604041988E-4</v>
      </c>
      <c r="DF492" s="249">
        <f t="shared" si="484"/>
        <v>0.13295015142152181</v>
      </c>
      <c r="DG492" s="283">
        <f t="shared" si="485"/>
        <v>0.13294984644583205</v>
      </c>
      <c r="DH492" s="282">
        <f t="shared" si="486"/>
        <v>2907.5084876121232</v>
      </c>
      <c r="DI492" s="265">
        <f t="shared" si="426"/>
        <v>224.45140274615633</v>
      </c>
      <c r="DJ492" s="265">
        <f t="shared" si="427"/>
        <v>224.33559949472999</v>
      </c>
      <c r="DK492" s="284">
        <f t="shared" si="487"/>
        <v>162.77335824859492</v>
      </c>
      <c r="DL492" s="248">
        <f t="shared" si="488"/>
        <v>0.79278953388581874</v>
      </c>
      <c r="DM492" s="94">
        <f t="shared" si="489"/>
        <v>4.2185913311589907E-3</v>
      </c>
      <c r="DN492" s="249">
        <f t="shared" si="490"/>
        <v>0.79700854715688241</v>
      </c>
      <c r="DO492" s="247">
        <f t="shared" si="491"/>
        <v>163.77335824859492</v>
      </c>
      <c r="DP492" s="248">
        <f t="shared" si="492"/>
        <v>0.78470941708137831</v>
      </c>
      <c r="DQ492" s="94">
        <f t="shared" si="493"/>
        <v>4.1875809106172897E-3</v>
      </c>
      <c r="DR492" s="249">
        <f t="shared" si="494"/>
        <v>0.85936823218314162</v>
      </c>
      <c r="DS492" s="247">
        <f t="shared" si="495"/>
        <v>162.77335226115287</v>
      </c>
      <c r="DT492" s="248">
        <f t="shared" si="496"/>
        <v>0.79278958226504992</v>
      </c>
      <c r="DU492" s="94">
        <f t="shared" si="497"/>
        <v>4.2185915161941897E-3</v>
      </c>
      <c r="DV492" s="249">
        <f t="shared" si="498"/>
        <v>0.79700817378188193</v>
      </c>
      <c r="DW492" s="249">
        <f t="shared" si="499"/>
        <v>0.79700817378156308</v>
      </c>
      <c r="DX492" s="249">
        <f t="shared" si="500"/>
        <v>2751.6317610212454</v>
      </c>
      <c r="DY492" s="265">
        <f t="shared" si="428"/>
        <v>149.46120293172984</v>
      </c>
      <c r="DZ492" s="265">
        <f t="shared" si="429"/>
        <v>150.03773701787935</v>
      </c>
      <c r="EA492" s="94">
        <f t="shared" si="501"/>
        <v>1.1302079590452912E-2</v>
      </c>
      <c r="EB492" s="157">
        <f t="shared" si="430"/>
        <v>2.1601305413055623</v>
      </c>
      <c r="EC492" s="285">
        <f t="shared" si="502"/>
        <v>3.1013906411237291</v>
      </c>
      <c r="ED492" s="157">
        <f t="shared" si="503"/>
        <v>6.9510666860533448</v>
      </c>
      <c r="EE492" s="143">
        <f t="shared" si="431"/>
        <v>257.41392310976016</v>
      </c>
    </row>
    <row r="493" spans="1:135" ht="12" customHeight="1" x14ac:dyDescent="0.2">
      <c r="A493" s="200" t="s">
        <v>442</v>
      </c>
      <c r="B493" s="236">
        <f t="shared" si="432"/>
        <v>228.36978630456429</v>
      </c>
      <c r="C493" s="237">
        <f t="shared" si="433"/>
        <v>4.9693834747265848</v>
      </c>
      <c r="D493" s="236">
        <f t="shared" si="434"/>
        <v>2915.6450169971586</v>
      </c>
      <c r="E493" s="236">
        <f t="shared" si="504"/>
        <v>149.45877027656664</v>
      </c>
      <c r="F493" s="237">
        <f t="shared" si="435"/>
        <v>4.9964457519732468</v>
      </c>
      <c r="G493" s="238">
        <f t="shared" si="436"/>
        <v>2751.6317610212454</v>
      </c>
      <c r="H493" s="118">
        <v>0</v>
      </c>
      <c r="I493" s="239">
        <f t="shared" si="437"/>
        <v>253.93838976673348</v>
      </c>
      <c r="J493" s="154">
        <f t="shared" si="438"/>
        <v>0.25470967741935496</v>
      </c>
      <c r="K493" s="149">
        <f t="shared" si="376"/>
        <v>0.16762837915759043</v>
      </c>
      <c r="L493" s="240">
        <f t="shared" si="377"/>
        <v>253.93838976673348</v>
      </c>
      <c r="M493" s="154">
        <f t="shared" si="378"/>
        <v>0.66831593807147449</v>
      </c>
      <c r="N493" s="241">
        <f t="shared" si="379"/>
        <v>253.93838976673348</v>
      </c>
      <c r="O493" s="150">
        <f t="shared" si="380"/>
        <v>0.60145095648407221</v>
      </c>
      <c r="P493" s="150">
        <f t="shared" si="381"/>
        <v>3.3282636752303927</v>
      </c>
      <c r="Q493" s="152">
        <f t="shared" si="382"/>
        <v>2.7647133147549336E-5</v>
      </c>
      <c r="R493" s="152">
        <f t="shared" si="439"/>
        <v>610.38522055870635</v>
      </c>
      <c r="S493" s="153">
        <f t="shared" si="383"/>
        <v>0.10485181790839991</v>
      </c>
      <c r="T493" s="154">
        <f t="shared" si="384"/>
        <v>0.6204900456879342</v>
      </c>
      <c r="U493" s="155">
        <f t="shared" si="385"/>
        <v>0.68147657200297851</v>
      </c>
      <c r="V493" s="154">
        <f t="shared" si="386"/>
        <v>4.2915441237230581E-2</v>
      </c>
      <c r="W493" s="154">
        <f t="shared" si="440"/>
        <v>0.30998229076997802</v>
      </c>
      <c r="X493" s="154">
        <f t="shared" si="441"/>
        <v>0.20833078833541882</v>
      </c>
      <c r="Y493" s="154">
        <f t="shared" si="387"/>
        <v>5.8560000000000008</v>
      </c>
      <c r="Z493" s="154">
        <f t="shared" si="388"/>
        <v>33.125319832373641</v>
      </c>
      <c r="AA493" s="154">
        <f t="shared" si="389"/>
        <v>0.66082076010080282</v>
      </c>
      <c r="AB493" s="1"/>
      <c r="AC493" s="242">
        <f t="shared" si="390"/>
        <v>0.11916857714141514</v>
      </c>
      <c r="AD493" s="263">
        <f t="shared" si="391"/>
        <v>2.1940239568563067</v>
      </c>
      <c r="AE493" s="282">
        <f t="shared" si="392"/>
        <v>228.36978630456429</v>
      </c>
      <c r="AF493" s="243">
        <f t="shared" si="393"/>
        <v>0.32688443789721972</v>
      </c>
      <c r="AG493" s="243">
        <f t="shared" si="394"/>
        <v>20.360897904549308</v>
      </c>
      <c r="AH493" s="264">
        <f t="shared" si="395"/>
        <v>1.7296427697592832E-5</v>
      </c>
      <c r="AI493" s="264">
        <f t="shared" si="396"/>
        <v>11677.116007992496</v>
      </c>
      <c r="AJ493" s="245">
        <f t="shared" si="397"/>
        <v>4.4421101330119075E-2</v>
      </c>
      <c r="AK493" s="264">
        <f t="shared" si="398"/>
        <v>54.195967810007453</v>
      </c>
      <c r="AL493" s="246">
        <f t="shared" si="399"/>
        <v>0.98491961874200995</v>
      </c>
      <c r="AM493" s="263">
        <f t="shared" si="400"/>
        <v>3.7498149513978556E-2</v>
      </c>
      <c r="AN493" s="263">
        <f t="shared" si="442"/>
        <v>0.26051702037681224</v>
      </c>
      <c r="AO493" s="263">
        <f t="shared" si="443"/>
        <v>0.17543162892061984</v>
      </c>
      <c r="AP493" s="235">
        <f t="shared" si="401"/>
        <v>7.195558744024539</v>
      </c>
      <c r="AQ493" s="235">
        <f t="shared" si="402"/>
        <v>59.678876762816941</v>
      </c>
      <c r="AR493" s="263">
        <f t="shared" si="403"/>
        <v>0.84766496213772946</v>
      </c>
      <c r="AT493" s="242">
        <f t="shared" si="404"/>
        <v>0.11692312664427293</v>
      </c>
      <c r="AU493" s="263">
        <f t="shared" si="405"/>
        <v>2.6740689131704483</v>
      </c>
      <c r="AV493" s="282">
        <f t="shared" si="406"/>
        <v>149.45877027656664</v>
      </c>
      <c r="AW493" s="243">
        <f t="shared" si="407"/>
        <v>0.26820261973715748</v>
      </c>
      <c r="AX493" s="243">
        <f t="shared" si="408"/>
        <v>16.705739169871233</v>
      </c>
      <c r="AY493" s="264">
        <f t="shared" si="409"/>
        <v>1.402245635947733E-5</v>
      </c>
      <c r="AZ493" s="264">
        <f t="shared" si="410"/>
        <v>14403.495904777008</v>
      </c>
      <c r="BA493" s="245">
        <f t="shared" si="411"/>
        <v>4.3584090547092322E-2</v>
      </c>
      <c r="BB493" s="264">
        <f t="shared" si="412"/>
        <v>43.628914994917103</v>
      </c>
      <c r="BC493" s="246">
        <f t="shared" si="413"/>
        <v>1.0644410729582749</v>
      </c>
      <c r="BD493" s="263">
        <f t="shared" si="414"/>
        <v>3.128323178932399E-2</v>
      </c>
      <c r="BE493" s="263">
        <f t="shared" si="444"/>
        <v>1.1624502164914017</v>
      </c>
      <c r="BF493" s="263">
        <f t="shared" si="445"/>
        <v>1.0525945183468477</v>
      </c>
      <c r="BG493" s="235">
        <f t="shared" si="415"/>
        <v>52.675894649060375</v>
      </c>
      <c r="BH493" s="235">
        <f t="shared" si="416"/>
        <v>364.47673671073323</v>
      </c>
      <c r="BI493" s="263">
        <f t="shared" si="417"/>
        <v>5.1769432667419348</v>
      </c>
      <c r="BJ493" s="247">
        <f t="shared" si="505"/>
        <v>242.54424554789875</v>
      </c>
      <c r="BK493" s="248">
        <f t="shared" si="446"/>
        <v>9.1325391235938178E-2</v>
      </c>
      <c r="BL493" s="94">
        <f t="shared" si="447"/>
        <v>6.0267211689971263E-4</v>
      </c>
      <c r="BM493" s="249">
        <f t="shared" si="448"/>
        <v>0.14573265690779938</v>
      </c>
      <c r="BN493" s="247">
        <f t="shared" si="449"/>
        <v>243.54424554789875</v>
      </c>
      <c r="BO493" s="248">
        <f t="shared" si="450"/>
        <v>8.3310274919876845E-2</v>
      </c>
      <c r="BP493" s="94">
        <f t="shared" si="451"/>
        <v>5.5135145686884403E-4</v>
      </c>
      <c r="BQ493" s="249">
        <f t="shared" si="452"/>
        <v>0.15601401257759892</v>
      </c>
      <c r="BR493" s="247">
        <f t="shared" si="453"/>
        <v>239.61176235532196</v>
      </c>
      <c r="BS493" s="248">
        <f t="shared" si="454"/>
        <v>0.11482958511933611</v>
      </c>
      <c r="BT493" s="94">
        <f t="shared" si="455"/>
        <v>7.5145642756693732E-4</v>
      </c>
      <c r="BU493" s="249">
        <f t="shared" si="456"/>
        <v>0.11558275420920805</v>
      </c>
      <c r="BV493" s="283">
        <f t="shared" si="457"/>
        <v>0.11558189787805555</v>
      </c>
      <c r="BW493" s="282">
        <f t="shared" si="458"/>
        <v>2915.8061758660324</v>
      </c>
      <c r="BX493" s="265">
        <f t="shared" si="418"/>
        <v>228.44621213756346</v>
      </c>
      <c r="BY493" s="265">
        <f t="shared" si="419"/>
        <v>228.34396093680385</v>
      </c>
      <c r="BZ493" s="284">
        <f t="shared" si="506"/>
        <v>162.77335824859492</v>
      </c>
      <c r="CA493" s="248">
        <f t="shared" si="459"/>
        <v>0.73069833157527853</v>
      </c>
      <c r="CB493" s="94">
        <f t="shared" si="460"/>
        <v>3.8312036067925516E-3</v>
      </c>
      <c r="CC493" s="249">
        <f t="shared" si="461"/>
        <v>0.83604044591175164</v>
      </c>
      <c r="CD493" s="247">
        <f t="shared" si="462"/>
        <v>163.77335824859492</v>
      </c>
      <c r="CE493" s="248">
        <f t="shared" si="463"/>
        <v>0.7226832152592173</v>
      </c>
      <c r="CF493" s="94">
        <f t="shared" si="464"/>
        <v>3.8001931862508514E-3</v>
      </c>
      <c r="CG493" s="249">
        <f t="shared" si="465"/>
        <v>0.89883175779223445</v>
      </c>
      <c r="CH493" s="247">
        <f t="shared" si="466"/>
        <v>161.34034609130333</v>
      </c>
      <c r="CI493" s="248">
        <f t="shared" si="467"/>
        <v>0.7421840906983006</v>
      </c>
      <c r="CJ493" s="94">
        <f t="shared" si="468"/>
        <v>3.8752712778730315E-3</v>
      </c>
      <c r="CK493" s="249">
        <f t="shared" si="469"/>
        <v>0.74605973261473235</v>
      </c>
      <c r="CL493" s="249">
        <f t="shared" si="470"/>
        <v>0.74605954729545298</v>
      </c>
      <c r="CM493" s="249">
        <f t="shared" si="471"/>
        <v>2750.5864579701488</v>
      </c>
      <c r="CN493" s="265">
        <f t="shared" si="420"/>
        <v>148.95921902978239</v>
      </c>
      <c r="CO493" s="265">
        <f t="shared" si="421"/>
        <v>149.49726175944352</v>
      </c>
      <c r="CP493" s="94">
        <f t="shared" si="472"/>
        <v>1.0786521929055121E-2</v>
      </c>
      <c r="CQ493" s="157">
        <f t="shared" si="422"/>
        <v>2.0678473464967437</v>
      </c>
      <c r="CR493" s="285">
        <f t="shared" si="423"/>
        <v>2.9402754989185866</v>
      </c>
      <c r="CS493" s="157">
        <f t="shared" si="424"/>
        <v>6.5899634819774047</v>
      </c>
      <c r="CT493" s="143">
        <f t="shared" si="425"/>
        <v>250.64340802574478</v>
      </c>
      <c r="CU493" s="247">
        <f t="shared" si="473"/>
        <v>239.61176235532196</v>
      </c>
      <c r="CV493" s="248">
        <f t="shared" si="474"/>
        <v>8.8419923206013357E-2</v>
      </c>
      <c r="CW493" s="94">
        <f t="shared" si="475"/>
        <v>5.731003469591011E-4</v>
      </c>
      <c r="CX493" s="249">
        <f t="shared" si="476"/>
        <v>0.11584827400045644</v>
      </c>
      <c r="CY493" s="247">
        <f t="shared" si="477"/>
        <v>240.61176235532196</v>
      </c>
      <c r="CZ493" s="248">
        <f t="shared" si="478"/>
        <v>8.040480688995201E-2</v>
      </c>
      <c r="DA493" s="94">
        <f t="shared" si="479"/>
        <v>5.2264963141712608E-4</v>
      </c>
      <c r="DB493" s="249">
        <f t="shared" si="480"/>
        <v>0.12612962967025598</v>
      </c>
      <c r="DC493" s="247">
        <f t="shared" si="481"/>
        <v>238.14801549790317</v>
      </c>
      <c r="DD493" s="248">
        <f t="shared" si="482"/>
        <v>0.10015202452549415</v>
      </c>
      <c r="DE493" s="94">
        <f t="shared" si="483"/>
        <v>6.4641690554569282E-4</v>
      </c>
      <c r="DF493" s="249">
        <f t="shared" si="484"/>
        <v>0.10079897194878257</v>
      </c>
      <c r="DG493" s="283">
        <f t="shared" si="485"/>
        <v>0.1007987066899112</v>
      </c>
      <c r="DH493" s="282">
        <f t="shared" si="486"/>
        <v>2907.6490338901503</v>
      </c>
      <c r="DI493" s="265">
        <f t="shared" si="426"/>
        <v>224.51788158759948</v>
      </c>
      <c r="DJ493" s="265">
        <f t="shared" si="427"/>
        <v>224.42674054116475</v>
      </c>
      <c r="DK493" s="284">
        <f t="shared" si="487"/>
        <v>161.34034609130333</v>
      </c>
      <c r="DL493" s="248">
        <f t="shared" si="488"/>
        <v>0.7421840906983006</v>
      </c>
      <c r="DM493" s="94">
        <f t="shared" si="489"/>
        <v>3.8752712778730315E-3</v>
      </c>
      <c r="DN493" s="249">
        <f t="shared" si="490"/>
        <v>0.74605973261473235</v>
      </c>
      <c r="DO493" s="247">
        <f t="shared" si="491"/>
        <v>162.34034609130333</v>
      </c>
      <c r="DP493" s="248">
        <f t="shared" si="492"/>
        <v>0.73416897438223927</v>
      </c>
      <c r="DQ493" s="94">
        <f t="shared" si="493"/>
        <v>3.8445654310457406E-3</v>
      </c>
      <c r="DR493" s="249">
        <f t="shared" si="494"/>
        <v>0.80885104449521505</v>
      </c>
      <c r="DS493" s="247">
        <f t="shared" si="495"/>
        <v>161.34034085903971</v>
      </c>
      <c r="DT493" s="248">
        <f t="shared" si="496"/>
        <v>0.74218413263550209</v>
      </c>
      <c r="DU493" s="94">
        <f t="shared" si="497"/>
        <v>3.8752714379803326E-3</v>
      </c>
      <c r="DV493" s="249">
        <f t="shared" si="498"/>
        <v>0.7460594040740357</v>
      </c>
      <c r="DW493" s="249">
        <f t="shared" si="499"/>
        <v>0.74605940407375915</v>
      </c>
      <c r="DX493" s="249">
        <f t="shared" si="500"/>
        <v>2750.5915108447002</v>
      </c>
      <c r="DY493" s="265">
        <f t="shared" si="428"/>
        <v>148.96165177092055</v>
      </c>
      <c r="DZ493" s="265">
        <f t="shared" si="429"/>
        <v>149.49969439439997</v>
      </c>
      <c r="EA493" s="94">
        <f t="shared" si="501"/>
        <v>1.0291405449287768E-2</v>
      </c>
      <c r="EB493" s="157">
        <f t="shared" si="430"/>
        <v>1.9945341250253596</v>
      </c>
      <c r="EC493" s="285">
        <f t="shared" si="502"/>
        <v>2.8516836412385946</v>
      </c>
      <c r="ED493" s="157">
        <f t="shared" si="503"/>
        <v>6.3914048410859605</v>
      </c>
      <c r="EE493" s="143">
        <f t="shared" si="431"/>
        <v>250.74268734619051</v>
      </c>
    </row>
    <row r="494" spans="1:135" ht="12" customHeight="1" x14ac:dyDescent="0.2">
      <c r="A494" s="200" t="s">
        <v>442</v>
      </c>
      <c r="B494" s="236">
        <f t="shared" si="432"/>
        <v>228.44621213756346</v>
      </c>
      <c r="C494" s="237">
        <f t="shared" si="433"/>
        <v>4.968841515048485</v>
      </c>
      <c r="D494" s="236">
        <f t="shared" si="434"/>
        <v>2915.8061758660324</v>
      </c>
      <c r="E494" s="236">
        <f t="shared" si="504"/>
        <v>148.95921902978239</v>
      </c>
      <c r="F494" s="237">
        <f t="shared" si="435"/>
        <v>4.9968820411231958</v>
      </c>
      <c r="G494" s="238">
        <f t="shared" si="436"/>
        <v>2750.5915108447002</v>
      </c>
      <c r="H494" s="118">
        <v>0</v>
      </c>
      <c r="I494" s="239">
        <f t="shared" si="437"/>
        <v>247.54698492564751</v>
      </c>
      <c r="J494" s="154">
        <f t="shared" si="438"/>
        <v>0.26683870967741946</v>
      </c>
      <c r="K494" s="149">
        <f t="shared" si="376"/>
        <v>0.1671446066752256</v>
      </c>
      <c r="L494" s="240">
        <f t="shared" si="377"/>
        <v>247.54698492564751</v>
      </c>
      <c r="M494" s="154">
        <f t="shared" si="378"/>
        <v>0.67894499977547695</v>
      </c>
      <c r="N494" s="241">
        <f t="shared" si="379"/>
        <v>247.54698492564751</v>
      </c>
      <c r="O494" s="150">
        <f t="shared" si="380"/>
        <v>0.59203508431399277</v>
      </c>
      <c r="P494" s="150">
        <f t="shared" si="381"/>
        <v>3.2761588361301524</v>
      </c>
      <c r="Q494" s="152">
        <f t="shared" si="382"/>
        <v>2.743150819310474E-5</v>
      </c>
      <c r="R494" s="152">
        <f t="shared" si="439"/>
        <v>615.18314433490264</v>
      </c>
      <c r="S494" s="153">
        <f t="shared" si="383"/>
        <v>0.1045492174508585</v>
      </c>
      <c r="T494" s="154">
        <f t="shared" si="384"/>
        <v>0.60901342273765335</v>
      </c>
      <c r="U494" s="155">
        <f t="shared" si="385"/>
        <v>0.68152113827085414</v>
      </c>
      <c r="V494" s="154">
        <f t="shared" si="386"/>
        <v>4.2595429988242242E-2</v>
      </c>
      <c r="W494" s="154">
        <f t="shared" si="440"/>
        <v>0.30521257862459833</v>
      </c>
      <c r="X494" s="154">
        <f t="shared" si="441"/>
        <v>0.20504862357162454</v>
      </c>
      <c r="Y494" s="154">
        <f t="shared" si="387"/>
        <v>5.8560000000000008</v>
      </c>
      <c r="Z494" s="154">
        <f t="shared" si="388"/>
        <v>32.878311420783554</v>
      </c>
      <c r="AA494" s="154">
        <f t="shared" si="389"/>
        <v>0.6558931612995158</v>
      </c>
      <c r="AB494" s="1"/>
      <c r="AC494" s="242">
        <f t="shared" si="390"/>
        <v>0.11917070581838241</v>
      </c>
      <c r="AD494" s="263">
        <f t="shared" si="391"/>
        <v>2.1934127593642878</v>
      </c>
      <c r="AE494" s="282">
        <f t="shared" si="392"/>
        <v>228.44621213756346</v>
      </c>
      <c r="AF494" s="243">
        <f t="shared" si="393"/>
        <v>0.32697552469689745</v>
      </c>
      <c r="AG494" s="243">
        <f t="shared" si="394"/>
        <v>20.366571496845779</v>
      </c>
      <c r="AH494" s="264">
        <f t="shared" si="395"/>
        <v>1.72996001164751E-5</v>
      </c>
      <c r="AI494" s="264">
        <f t="shared" si="396"/>
        <v>11674.974646165356</v>
      </c>
      <c r="AJ494" s="245">
        <f t="shared" si="397"/>
        <v>4.4421894812575018E-2</v>
      </c>
      <c r="AK494" s="264">
        <f t="shared" si="398"/>
        <v>54.21203794930652</v>
      </c>
      <c r="AL494" s="246">
        <f t="shared" si="399"/>
        <v>0.98485497096947683</v>
      </c>
      <c r="AM494" s="263">
        <f t="shared" si="400"/>
        <v>3.7504528844674478E-2</v>
      </c>
      <c r="AN494" s="263">
        <f t="shared" si="442"/>
        <v>0.25652363331254829</v>
      </c>
      <c r="AO494" s="263">
        <f t="shared" si="443"/>
        <v>0.17266250496300584</v>
      </c>
      <c r="AP494" s="235">
        <f t="shared" si="401"/>
        <v>7.0807545929893694</v>
      </c>
      <c r="AQ494" s="235">
        <f t="shared" si="402"/>
        <v>58.73669929992726</v>
      </c>
      <c r="AR494" s="263">
        <f t="shared" si="403"/>
        <v>0.83428249137539434</v>
      </c>
      <c r="AT494" s="242">
        <f t="shared" si="404"/>
        <v>0.11690858914882117</v>
      </c>
      <c r="AU494" s="263">
        <f t="shared" si="405"/>
        <v>2.6742888924307584</v>
      </c>
      <c r="AV494" s="282">
        <f t="shared" si="406"/>
        <v>148.95921902978239</v>
      </c>
      <c r="AW494" s="243">
        <f t="shared" si="407"/>
        <v>0.26818055816629655</v>
      </c>
      <c r="AX494" s="243">
        <f t="shared" si="408"/>
        <v>16.704365004142197</v>
      </c>
      <c r="AY494" s="264">
        <f t="shared" si="409"/>
        <v>1.4001740501224418E-5</v>
      </c>
      <c r="AZ494" s="264">
        <f t="shared" si="410"/>
        <v>14424.80616827487</v>
      </c>
      <c r="BA494" s="245">
        <f t="shared" si="411"/>
        <v>4.3578671571939308E-2</v>
      </c>
      <c r="BB494" s="264">
        <f t="shared" si="412"/>
        <v>43.619902104567736</v>
      </c>
      <c r="BC494" s="246">
        <f t="shared" si="413"/>
        <v>1.0650622173333175</v>
      </c>
      <c r="BD494" s="263">
        <f t="shared" si="414"/>
        <v>3.1247613420462977E-2</v>
      </c>
      <c r="BE494" s="263">
        <f t="shared" si="444"/>
        <v>1.1899141410275402</v>
      </c>
      <c r="BF494" s="263">
        <f t="shared" si="445"/>
        <v>1.0628123893909587</v>
      </c>
      <c r="BG494" s="235">
        <f t="shared" si="415"/>
        <v>53.262607618336659</v>
      </c>
      <c r="BH494" s="235">
        <f t="shared" si="416"/>
        <v>368.11673286375083</v>
      </c>
      <c r="BI494" s="263">
        <f t="shared" si="417"/>
        <v>5.2286449301879792</v>
      </c>
      <c r="BJ494" s="247">
        <f t="shared" si="505"/>
        <v>239.61176235532196</v>
      </c>
      <c r="BK494" s="248">
        <f t="shared" si="446"/>
        <v>6.312746740942092E-2</v>
      </c>
      <c r="BL494" s="94">
        <f t="shared" si="447"/>
        <v>4.0853279188982956E-4</v>
      </c>
      <c r="BM494" s="249">
        <f t="shared" si="448"/>
        <v>0.11298464090391873</v>
      </c>
      <c r="BN494" s="247">
        <f t="shared" si="449"/>
        <v>240.61176235532196</v>
      </c>
      <c r="BO494" s="248">
        <f t="shared" si="450"/>
        <v>5.5172118098175189E-2</v>
      </c>
      <c r="BP494" s="94">
        <f t="shared" si="451"/>
        <v>3.5808207634785449E-4</v>
      </c>
      <c r="BQ494" s="249">
        <f t="shared" si="452"/>
        <v>0.1231036801541493</v>
      </c>
      <c r="BR494" s="247">
        <f t="shared" si="453"/>
        <v>236.88353729650407</v>
      </c>
      <c r="BS494" s="248">
        <f t="shared" si="454"/>
        <v>8.4831450752011109E-2</v>
      </c>
      <c r="BT494" s="94">
        <f t="shared" si="455"/>
        <v>5.4467985143352531E-4</v>
      </c>
      <c r="BU494" s="249">
        <f t="shared" si="456"/>
        <v>8.5377624450277939E-2</v>
      </c>
      <c r="BV494" s="283">
        <f t="shared" si="457"/>
        <v>8.5376877526861294E-2</v>
      </c>
      <c r="BW494" s="282">
        <f t="shared" si="458"/>
        <v>2915.92521908355</v>
      </c>
      <c r="BX494" s="265">
        <f t="shared" si="418"/>
        <v>228.5023561145932</v>
      </c>
      <c r="BY494" s="265">
        <f t="shared" si="419"/>
        <v>228.42315852569851</v>
      </c>
      <c r="BZ494" s="284">
        <f t="shared" si="506"/>
        <v>161.34034609130333</v>
      </c>
      <c r="CA494" s="248">
        <f t="shared" si="459"/>
        <v>0.68580392487560926</v>
      </c>
      <c r="CB494" s="94">
        <f t="shared" si="460"/>
        <v>3.5323476421959235E-3</v>
      </c>
      <c r="CC494" s="249">
        <f t="shared" si="461"/>
        <v>0.78519130588155472</v>
      </c>
      <c r="CD494" s="247">
        <f t="shared" si="462"/>
        <v>162.34034609130333</v>
      </c>
      <c r="CE494" s="248">
        <f t="shared" si="463"/>
        <v>0.67784857556436351</v>
      </c>
      <c r="CF494" s="94">
        <f t="shared" si="464"/>
        <v>3.5016417953686331E-3</v>
      </c>
      <c r="CG494" s="249">
        <f t="shared" si="465"/>
        <v>0.84860970890577014</v>
      </c>
      <c r="CH494" s="247">
        <f t="shared" si="466"/>
        <v>159.99792244152167</v>
      </c>
      <c r="CI494" s="248">
        <f t="shared" si="467"/>
        <v>0.69648337393329973</v>
      </c>
      <c r="CJ494" s="94">
        <f t="shared" si="468"/>
        <v>3.5732357657966207E-3</v>
      </c>
      <c r="CK494" s="249">
        <f t="shared" si="469"/>
        <v>0.70005694183046296</v>
      </c>
      <c r="CL494" s="249">
        <f t="shared" si="470"/>
        <v>0.70005677576477965</v>
      </c>
      <c r="CM494" s="249">
        <f t="shared" si="471"/>
        <v>2749.6103504636894</v>
      </c>
      <c r="CN494" s="265">
        <f t="shared" si="420"/>
        <v>148.49055357895807</v>
      </c>
      <c r="CO494" s="265">
        <f t="shared" si="421"/>
        <v>148.99390766920078</v>
      </c>
      <c r="CP494" s="94">
        <f t="shared" si="472"/>
        <v>9.8345659164154713E-3</v>
      </c>
      <c r="CQ494" s="157">
        <f t="shared" si="422"/>
        <v>1.9112797498645908</v>
      </c>
      <c r="CR494" s="285">
        <f t="shared" si="423"/>
        <v>2.7065481351383305</v>
      </c>
      <c r="CS494" s="157">
        <f t="shared" si="424"/>
        <v>6.0661163824055349</v>
      </c>
      <c r="CT494" s="143">
        <f t="shared" si="425"/>
        <v>244.51392673444474</v>
      </c>
      <c r="CU494" s="247">
        <f t="shared" si="473"/>
        <v>236.88353729650407</v>
      </c>
      <c r="CV494" s="248">
        <f t="shared" si="474"/>
        <v>6.0702413359657946E-2</v>
      </c>
      <c r="CW494" s="94">
        <f t="shared" si="475"/>
        <v>3.8630216890941466E-4</v>
      </c>
      <c r="CX494" s="249">
        <f t="shared" si="476"/>
        <v>8.5610904853598985E-2</v>
      </c>
      <c r="CY494" s="247">
        <f t="shared" si="477"/>
        <v>237.88353729650407</v>
      </c>
      <c r="CZ494" s="248">
        <f t="shared" si="478"/>
        <v>5.2747064048412222E-2</v>
      </c>
      <c r="DA494" s="94">
        <f t="shared" si="479"/>
        <v>3.3665192387534487E-4</v>
      </c>
      <c r="DB494" s="249">
        <f t="shared" si="480"/>
        <v>9.5729944103829553E-2</v>
      </c>
      <c r="DC494" s="247">
        <f t="shared" si="481"/>
        <v>235.53051716744636</v>
      </c>
      <c r="DD494" s="248">
        <f t="shared" si="482"/>
        <v>7.1466161111458815E-2</v>
      </c>
      <c r="DE494" s="94">
        <f t="shared" si="483"/>
        <v>4.5301650927831216E-4</v>
      </c>
      <c r="DF494" s="249">
        <f t="shared" si="484"/>
        <v>7.1919641061311962E-2</v>
      </c>
      <c r="DG494" s="283">
        <f t="shared" si="485"/>
        <v>7.1919409341024546E-2</v>
      </c>
      <c r="DH494" s="282">
        <f t="shared" si="486"/>
        <v>2907.7493130071421</v>
      </c>
      <c r="DI494" s="265">
        <f t="shared" si="426"/>
        <v>224.56496866639318</v>
      </c>
      <c r="DJ494" s="265">
        <f t="shared" si="427"/>
        <v>224.49585460377898</v>
      </c>
      <c r="DK494" s="284">
        <f t="shared" si="487"/>
        <v>159.99792244152167</v>
      </c>
      <c r="DL494" s="248">
        <f t="shared" si="488"/>
        <v>0.69648337393329973</v>
      </c>
      <c r="DM494" s="94">
        <f t="shared" si="489"/>
        <v>3.5732357657966207E-3</v>
      </c>
      <c r="DN494" s="249">
        <f t="shared" si="490"/>
        <v>0.70005694183046296</v>
      </c>
      <c r="DO494" s="247">
        <f t="shared" si="491"/>
        <v>160.99792244152167</v>
      </c>
      <c r="DP494" s="248">
        <f t="shared" si="492"/>
        <v>0.68852802462205398</v>
      </c>
      <c r="DQ494" s="94">
        <f t="shared" si="493"/>
        <v>3.5428134236837714E-3</v>
      </c>
      <c r="DR494" s="249">
        <f t="shared" si="494"/>
        <v>0.76347534485467838</v>
      </c>
      <c r="DS494" s="247">
        <f t="shared" si="495"/>
        <v>159.99791779009382</v>
      </c>
      <c r="DT494" s="248">
        <f t="shared" si="496"/>
        <v>0.69648341093703303</v>
      </c>
      <c r="DU494" s="94">
        <f t="shared" si="497"/>
        <v>3.5732359068146782E-3</v>
      </c>
      <c r="DV494" s="249">
        <f t="shared" si="498"/>
        <v>0.70005664684433733</v>
      </c>
      <c r="DW494" s="249">
        <f t="shared" si="499"/>
        <v>0.70005664684409252</v>
      </c>
      <c r="DX494" s="249">
        <f t="shared" si="500"/>
        <v>2749.6154035179984</v>
      </c>
      <c r="DY494" s="265">
        <f t="shared" si="428"/>
        <v>148.49298639647236</v>
      </c>
      <c r="DZ494" s="265">
        <f t="shared" si="429"/>
        <v>148.99634039543616</v>
      </c>
      <c r="EA494" s="94">
        <f t="shared" si="501"/>
        <v>9.394909469728539E-3</v>
      </c>
      <c r="EB494" s="157">
        <f t="shared" si="430"/>
        <v>1.8442975420634184</v>
      </c>
      <c r="EC494" s="285">
        <f t="shared" si="502"/>
        <v>2.6256685077185087</v>
      </c>
      <c r="ED494" s="157">
        <f t="shared" si="503"/>
        <v>5.8848429638675102</v>
      </c>
      <c r="EE494" s="143">
        <f t="shared" si="431"/>
        <v>244.60456344371374</v>
      </c>
    </row>
    <row r="495" spans="1:135" ht="12" customHeight="1" x14ac:dyDescent="0.2">
      <c r="A495" s="200" t="s">
        <v>442</v>
      </c>
      <c r="B495" s="236">
        <f t="shared" si="432"/>
        <v>228.5023561145932</v>
      </c>
      <c r="C495" s="237">
        <f t="shared" si="433"/>
        <v>4.9682993946689917</v>
      </c>
      <c r="D495" s="236">
        <f t="shared" si="434"/>
        <v>2915.92521908355</v>
      </c>
      <c r="E495" s="236">
        <f t="shared" si="504"/>
        <v>148.49055357895807</v>
      </c>
      <c r="F495" s="237">
        <f t="shared" si="435"/>
        <v>4.9973182401442413</v>
      </c>
      <c r="G495" s="238">
        <f t="shared" si="436"/>
        <v>2749.6154035179984</v>
      </c>
      <c r="H495" s="118">
        <v>0</v>
      </c>
      <c r="I495" s="239">
        <f t="shared" si="437"/>
        <v>241.66214196178001</v>
      </c>
      <c r="J495" s="154">
        <f t="shared" si="438"/>
        <v>0.27896774193548396</v>
      </c>
      <c r="K495" s="149">
        <f t="shared" si="376"/>
        <v>0.16676153454976994</v>
      </c>
      <c r="L495" s="240">
        <f t="shared" si="377"/>
        <v>241.66214196178001</v>
      </c>
      <c r="M495" s="154">
        <f t="shared" si="378"/>
        <v>0.68913219200351894</v>
      </c>
      <c r="N495" s="241">
        <f t="shared" si="379"/>
        <v>241.66214196178001</v>
      </c>
      <c r="O495" s="150">
        <f t="shared" si="380"/>
        <v>0.58328324355015149</v>
      </c>
      <c r="P495" s="150">
        <f t="shared" si="381"/>
        <v>3.2277285636504631</v>
      </c>
      <c r="Q495" s="152">
        <f t="shared" si="382"/>
        <v>2.7232336182780801E-5</v>
      </c>
      <c r="R495" s="152">
        <f t="shared" si="439"/>
        <v>619.68247420334285</v>
      </c>
      <c r="S495" s="153">
        <f t="shared" si="383"/>
        <v>0.10430960522680723</v>
      </c>
      <c r="T495" s="154">
        <f t="shared" si="384"/>
        <v>0.59863545673011731</v>
      </c>
      <c r="U495" s="155">
        <f t="shared" si="385"/>
        <v>0.68157371441367576</v>
      </c>
      <c r="V495" s="154">
        <f t="shared" si="386"/>
        <v>4.230078178588436E-2</v>
      </c>
      <c r="W495" s="154">
        <f t="shared" si="440"/>
        <v>0.30072351071550096</v>
      </c>
      <c r="X495" s="154">
        <f t="shared" si="441"/>
        <v>0.20196401671535794</v>
      </c>
      <c r="Y495" s="154">
        <f t="shared" si="387"/>
        <v>5.8560000000000008</v>
      </c>
      <c r="Z495" s="154">
        <f t="shared" si="388"/>
        <v>32.650880089315116</v>
      </c>
      <c r="AA495" s="154">
        <f t="shared" si="389"/>
        <v>0.65135610788864351</v>
      </c>
      <c r="AB495" s="1"/>
      <c r="AC495" s="242">
        <f t="shared" si="390"/>
        <v>0.11917226953452492</v>
      </c>
      <c r="AD495" s="263">
        <f t="shared" si="391"/>
        <v>2.1928988440504624</v>
      </c>
      <c r="AE495" s="282">
        <f t="shared" si="392"/>
        <v>228.5023561145932</v>
      </c>
      <c r="AF495" s="243">
        <f t="shared" si="393"/>
        <v>0.32705215282310751</v>
      </c>
      <c r="AG495" s="243">
        <f t="shared" si="394"/>
        <v>20.37134449082621</v>
      </c>
      <c r="AH495" s="264">
        <f t="shared" si="395"/>
        <v>1.7301930642064638E-5</v>
      </c>
      <c r="AI495" s="264">
        <f t="shared" si="396"/>
        <v>11673.402057086543</v>
      </c>
      <c r="AJ495" s="245">
        <f t="shared" si="397"/>
        <v>4.4422477701075373E-2</v>
      </c>
      <c r="AK495" s="264">
        <f t="shared" si="398"/>
        <v>54.225454292534927</v>
      </c>
      <c r="AL495" s="246">
        <f t="shared" si="399"/>
        <v>0.9848062459834237</v>
      </c>
      <c r="AM495" s="263">
        <f t="shared" si="400"/>
        <v>3.7509165377737512E-2</v>
      </c>
      <c r="AN495" s="263">
        <f t="shared" si="442"/>
        <v>0.25276436042589395</v>
      </c>
      <c r="AO495" s="263">
        <f t="shared" si="443"/>
        <v>0.17006035691949781</v>
      </c>
      <c r="AP495" s="235">
        <f t="shared" si="401"/>
        <v>6.9731530122231238</v>
      </c>
      <c r="AQ495" s="235">
        <f t="shared" si="402"/>
        <v>57.851267260847933</v>
      </c>
      <c r="AR495" s="263">
        <f t="shared" si="403"/>
        <v>0.82170601948795174</v>
      </c>
      <c r="AT495" s="242">
        <f t="shared" si="404"/>
        <v>0.11689494652334173</v>
      </c>
      <c r="AU495" s="263">
        <f t="shared" si="405"/>
        <v>2.6745088251358742</v>
      </c>
      <c r="AV495" s="282">
        <f t="shared" si="406"/>
        <v>148.49055357895807</v>
      </c>
      <c r="AW495" s="243">
        <f t="shared" si="407"/>
        <v>0.26815850489241588</v>
      </c>
      <c r="AX495" s="243">
        <f t="shared" si="408"/>
        <v>16.702991355213438</v>
      </c>
      <c r="AY495" s="264">
        <f t="shared" si="409"/>
        <v>1.3982305561027341E-5</v>
      </c>
      <c r="AZ495" s="264">
        <f t="shared" si="410"/>
        <v>14444.856169614864</v>
      </c>
      <c r="BA495" s="245">
        <f t="shared" si="411"/>
        <v>4.3573586167184403E-2</v>
      </c>
      <c r="BB495" s="264">
        <f t="shared" si="412"/>
        <v>43.611225314518379</v>
      </c>
      <c r="BC495" s="246">
        <f t="shared" si="413"/>
        <v>1.0656469215035478</v>
      </c>
      <c r="BD495" s="263">
        <f t="shared" si="414"/>
        <v>3.1214255201623901E-2</v>
      </c>
      <c r="BE495" s="263">
        <f t="shared" si="444"/>
        <v>1.2322813915730673</v>
      </c>
      <c r="BF495" s="263">
        <f t="shared" si="445"/>
        <v>1.0798113101129798</v>
      </c>
      <c r="BG495" s="235">
        <f t="shared" si="415"/>
        <v>54.186564792901351</v>
      </c>
      <c r="BH495" s="235">
        <f t="shared" si="416"/>
        <v>374.10272979407051</v>
      </c>
      <c r="BI495" s="263">
        <f t="shared" si="417"/>
        <v>5.3136686460575353</v>
      </c>
      <c r="BJ495" s="247">
        <f t="shared" si="505"/>
        <v>236.88353729650407</v>
      </c>
      <c r="BK495" s="248">
        <f t="shared" si="446"/>
        <v>3.7752502396875921E-2</v>
      </c>
      <c r="BL495" s="94">
        <f t="shared" si="447"/>
        <v>2.3990845201861296E-4</v>
      </c>
      <c r="BM495" s="249">
        <f t="shared" si="448"/>
        <v>8.3531032334704311E-2</v>
      </c>
      <c r="BN495" s="247">
        <f t="shared" si="449"/>
        <v>237.88353729650407</v>
      </c>
      <c r="BO495" s="248">
        <f t="shared" si="450"/>
        <v>2.9852183152807226E-2</v>
      </c>
      <c r="BP495" s="94">
        <f t="shared" si="451"/>
        <v>1.9025820698454315E-4</v>
      </c>
      <c r="BQ495" s="249">
        <f t="shared" si="452"/>
        <v>9.3497531151719451E-2</v>
      </c>
      <c r="BR495" s="247">
        <f t="shared" si="453"/>
        <v>234.34181865487537</v>
      </c>
      <c r="BS495" s="248">
        <f t="shared" si="454"/>
        <v>5.7832891094343336E-2</v>
      </c>
      <c r="BT495" s="94">
        <f t="shared" si="455"/>
        <v>3.6479703463910987E-4</v>
      </c>
      <c r="BU495" s="249">
        <f t="shared" si="456"/>
        <v>5.8198996499726485E-2</v>
      </c>
      <c r="BV495" s="283">
        <f t="shared" si="457"/>
        <v>5.8198342314354466E-2</v>
      </c>
      <c r="BW495" s="282">
        <f t="shared" si="458"/>
        <v>2916.0063665572452</v>
      </c>
      <c r="BX495" s="265">
        <f t="shared" si="418"/>
        <v>228.54025023602668</v>
      </c>
      <c r="BY495" s="265">
        <f t="shared" si="419"/>
        <v>228.4817043808626</v>
      </c>
      <c r="BZ495" s="284">
        <f t="shared" si="506"/>
        <v>159.99792244152167</v>
      </c>
      <c r="CA495" s="248">
        <f t="shared" si="459"/>
        <v>0.64517340502774745</v>
      </c>
      <c r="CB495" s="94">
        <f t="shared" si="460"/>
        <v>3.2684643663817088E-3</v>
      </c>
      <c r="CC495" s="249">
        <f t="shared" si="461"/>
        <v>0.74164599246716745</v>
      </c>
      <c r="CD495" s="247">
        <f t="shared" si="462"/>
        <v>160.99792244152167</v>
      </c>
      <c r="CE495" s="248">
        <f t="shared" si="463"/>
        <v>0.63727308578367881</v>
      </c>
      <c r="CF495" s="94">
        <f t="shared" si="464"/>
        <v>3.2380420242688586E-3</v>
      </c>
      <c r="CG495" s="249">
        <f t="shared" si="465"/>
        <v>0.80609565088386526</v>
      </c>
      <c r="CH495" s="247">
        <f t="shared" si="466"/>
        <v>158.71022407194468</v>
      </c>
      <c r="CI495" s="248">
        <f t="shared" si="467"/>
        <v>0.65534663323747244</v>
      </c>
      <c r="CJ495" s="94">
        <f t="shared" si="468"/>
        <v>3.3073299130130245E-3</v>
      </c>
      <c r="CK495" s="249">
        <f t="shared" si="469"/>
        <v>0.65865427240419205</v>
      </c>
      <c r="CL495" s="249">
        <f t="shared" si="470"/>
        <v>0.65865411777733884</v>
      </c>
      <c r="CM495" s="249">
        <f t="shared" si="471"/>
        <v>2748.6919717681608</v>
      </c>
      <c r="CN495" s="265">
        <f t="shared" si="420"/>
        <v>148.0496854796653</v>
      </c>
      <c r="CO495" s="265">
        <f t="shared" si="421"/>
        <v>148.52179657443304</v>
      </c>
      <c r="CP495" s="94">
        <f t="shared" si="472"/>
        <v>8.9885205116396749E-3</v>
      </c>
      <c r="CQ495" s="157">
        <f t="shared" si="422"/>
        <v>1.768996551855947</v>
      </c>
      <c r="CR495" s="285">
        <f t="shared" si="423"/>
        <v>2.4948376870861333</v>
      </c>
      <c r="CS495" s="157">
        <f t="shared" si="424"/>
        <v>5.5916152270103394</v>
      </c>
      <c r="CT495" s="143">
        <f t="shared" si="425"/>
        <v>238.86633434827485</v>
      </c>
      <c r="CU495" s="247">
        <f t="shared" si="473"/>
        <v>234.34181865487537</v>
      </c>
      <c r="CV495" s="248">
        <f t="shared" si="474"/>
        <v>3.5745118402654728E-2</v>
      </c>
      <c r="CW495" s="94">
        <f t="shared" si="475"/>
        <v>2.2361984620412255E-4</v>
      </c>
      <c r="CX495" s="249">
        <f t="shared" si="476"/>
        <v>5.8404821979521848E-2</v>
      </c>
      <c r="CY495" s="247">
        <f t="shared" si="477"/>
        <v>235.34181865487537</v>
      </c>
      <c r="CZ495" s="248">
        <f t="shared" si="478"/>
        <v>2.7844799158586033E-2</v>
      </c>
      <c r="DA495" s="94">
        <f t="shared" si="479"/>
        <v>1.7470768994646657E-4</v>
      </c>
      <c r="DB495" s="249">
        <f t="shared" si="480"/>
        <v>6.8371320796536988E-2</v>
      </c>
      <c r="DC495" s="247">
        <f t="shared" si="481"/>
        <v>233.08950666655653</v>
      </c>
      <c r="DD495" s="248">
        <f t="shared" si="482"/>
        <v>4.5638782903547968E-2</v>
      </c>
      <c r="DE495" s="94">
        <f t="shared" si="483"/>
        <v>2.8446656924480292E-4</v>
      </c>
      <c r="DF495" s="249">
        <f t="shared" si="484"/>
        <v>4.5923656029408275E-2</v>
      </c>
      <c r="DG495" s="283">
        <f t="shared" si="485"/>
        <v>4.5923452751100519E-2</v>
      </c>
      <c r="DH495" s="282">
        <f t="shared" si="486"/>
        <v>2907.8133452806728</v>
      </c>
      <c r="DI495" s="265">
        <f t="shared" si="426"/>
        <v>224.59459987797101</v>
      </c>
      <c r="DJ495" s="265">
        <f t="shared" si="427"/>
        <v>224.54522724087499</v>
      </c>
      <c r="DK495" s="284">
        <f t="shared" si="487"/>
        <v>158.71022407194468</v>
      </c>
      <c r="DL495" s="248">
        <f t="shared" si="488"/>
        <v>0.65534663323747244</v>
      </c>
      <c r="DM495" s="94">
        <f t="shared" si="489"/>
        <v>3.3073299130130245E-3</v>
      </c>
      <c r="DN495" s="249">
        <f t="shared" si="490"/>
        <v>0.65865427240419205</v>
      </c>
      <c r="DO495" s="247">
        <f t="shared" si="491"/>
        <v>159.71022407194468</v>
      </c>
      <c r="DP495" s="248">
        <f t="shared" si="492"/>
        <v>0.6474463139934038</v>
      </c>
      <c r="DQ495" s="94">
        <f t="shared" si="493"/>
        <v>3.2771778733227922E-3</v>
      </c>
      <c r="DR495" s="249">
        <f t="shared" si="494"/>
        <v>0.72310393082088986</v>
      </c>
      <c r="DS495" s="247">
        <f t="shared" si="495"/>
        <v>158.710219799312</v>
      </c>
      <c r="DT495" s="248">
        <f t="shared" si="496"/>
        <v>0.65534666699263466</v>
      </c>
      <c r="DU495" s="94">
        <f t="shared" si="497"/>
        <v>3.3073300413948561E-3</v>
      </c>
      <c r="DV495" s="249">
        <f t="shared" si="498"/>
        <v>0.65865399703447536</v>
      </c>
      <c r="DW495" s="249">
        <f t="shared" si="499"/>
        <v>0.65865399703425243</v>
      </c>
      <c r="DX495" s="249">
        <f t="shared" si="500"/>
        <v>2748.697024990825</v>
      </c>
      <c r="DY495" s="265">
        <f t="shared" si="428"/>
        <v>148.05211836806748</v>
      </c>
      <c r="DZ495" s="265">
        <f t="shared" si="429"/>
        <v>148.52422938175181</v>
      </c>
      <c r="EA495" s="94">
        <f t="shared" si="501"/>
        <v>8.596612636544149E-3</v>
      </c>
      <c r="EB495" s="157">
        <f t="shared" si="430"/>
        <v>1.7076808948638196</v>
      </c>
      <c r="EC495" s="285">
        <f t="shared" si="502"/>
        <v>2.4208549572859392</v>
      </c>
      <c r="ED495" s="157">
        <f t="shared" si="503"/>
        <v>5.4257996468514067</v>
      </c>
      <c r="EE495" s="143">
        <f t="shared" si="431"/>
        <v>238.94924213835429</v>
      </c>
    </row>
    <row r="496" spans="1:135" ht="12" customHeight="1" x14ac:dyDescent="0.2">
      <c r="A496" s="200" t="s">
        <v>442</v>
      </c>
      <c r="B496" s="236">
        <f t="shared" si="432"/>
        <v>228.54025023602668</v>
      </c>
      <c r="C496" s="237">
        <f t="shared" si="433"/>
        <v>4.9677571401260661</v>
      </c>
      <c r="D496" s="236">
        <f t="shared" si="434"/>
        <v>2916.0063665572452</v>
      </c>
      <c r="E496" s="236">
        <f t="shared" si="504"/>
        <v>148.0496854796653</v>
      </c>
      <c r="F496" s="237">
        <f t="shared" si="435"/>
        <v>4.9977543523973864</v>
      </c>
      <c r="G496" s="238">
        <f t="shared" si="436"/>
        <v>2748.697024990825</v>
      </c>
      <c r="H496" s="118">
        <v>0</v>
      </c>
      <c r="I496" s="239">
        <f t="shared" si="437"/>
        <v>236.23634231492861</v>
      </c>
      <c r="J496" s="154">
        <f t="shared" si="438"/>
        <v>0.29109677419354846</v>
      </c>
      <c r="K496" s="149">
        <f t="shared" si="376"/>
        <v>0.16640683253579588</v>
      </c>
      <c r="L496" s="240">
        <f t="shared" si="377"/>
        <v>236.23634231492861</v>
      </c>
      <c r="M496" s="154">
        <f t="shared" si="378"/>
        <v>0.69888715846301275</v>
      </c>
      <c r="N496" s="241">
        <f t="shared" si="379"/>
        <v>236.23634231492861</v>
      </c>
      <c r="O496" s="150">
        <f t="shared" si="380"/>
        <v>0.57514185991143973</v>
      </c>
      <c r="P496" s="150">
        <f t="shared" si="381"/>
        <v>3.1826763924988208</v>
      </c>
      <c r="Q496" s="152">
        <f t="shared" si="382"/>
        <v>2.7048159521147975E-5</v>
      </c>
      <c r="R496" s="152">
        <f t="shared" si="439"/>
        <v>623.90202375464969</v>
      </c>
      <c r="S496" s="153">
        <f t="shared" si="383"/>
        <v>0.10408773855263276</v>
      </c>
      <c r="T496" s="154">
        <f t="shared" si="384"/>
        <v>0.58902426318194456</v>
      </c>
      <c r="U496" s="155">
        <f t="shared" si="385"/>
        <v>0.68163212491272018</v>
      </c>
      <c r="V496" s="154">
        <f t="shared" si="386"/>
        <v>4.2029117423366159E-2</v>
      </c>
      <c r="W496" s="154">
        <f t="shared" si="440"/>
        <v>0.29648740825734626</v>
      </c>
      <c r="X496" s="154">
        <f t="shared" si="441"/>
        <v>0.19905705171978816</v>
      </c>
      <c r="Y496" s="154">
        <f t="shared" si="387"/>
        <v>5.8560000000000008</v>
      </c>
      <c r="Z496" s="154">
        <f t="shared" si="388"/>
        <v>32.44118938974318</v>
      </c>
      <c r="AA496" s="154">
        <f t="shared" si="389"/>
        <v>0.64717296435438021</v>
      </c>
      <c r="AB496" s="1"/>
      <c r="AC496" s="242">
        <f t="shared" si="390"/>
        <v>0.11917332493204058</v>
      </c>
      <c r="AD496" s="263">
        <f t="shared" si="391"/>
        <v>2.1924723788569458</v>
      </c>
      <c r="AE496" s="282">
        <f t="shared" si="392"/>
        <v>228.54025023602668</v>
      </c>
      <c r="AF496" s="243">
        <f t="shared" si="393"/>
        <v>0.3271157688398878</v>
      </c>
      <c r="AG496" s="243">
        <f t="shared" si="394"/>
        <v>20.375306989717529</v>
      </c>
      <c r="AH496" s="264">
        <f t="shared" si="395"/>
        <v>1.7303503620609192E-5</v>
      </c>
      <c r="AI496" s="264">
        <f t="shared" si="396"/>
        <v>11672.340884079018</v>
      </c>
      <c r="AJ496" s="245">
        <f t="shared" si="397"/>
        <v>4.4422871109481434E-2</v>
      </c>
      <c r="AK496" s="264">
        <f t="shared" si="398"/>
        <v>54.236482186076664</v>
      </c>
      <c r="AL496" s="246">
        <f t="shared" si="399"/>
        <v>0.98477183016800995</v>
      </c>
      <c r="AM496" s="263">
        <f t="shared" si="400"/>
        <v>3.7512233169410242E-2</v>
      </c>
      <c r="AN496" s="263">
        <f t="shared" si="442"/>
        <v>0.24921619221432428</v>
      </c>
      <c r="AO496" s="263">
        <f t="shared" si="443"/>
        <v>0.16760832334822201</v>
      </c>
      <c r="AP496" s="235">
        <f t="shared" si="401"/>
        <v>6.8720139808997978</v>
      </c>
      <c r="AQ496" s="235">
        <f t="shared" si="402"/>
        <v>57.016851896611591</v>
      </c>
      <c r="AR496" s="263">
        <f t="shared" si="403"/>
        <v>0.80985417665009829</v>
      </c>
      <c r="AT496" s="242">
        <f t="shared" si="404"/>
        <v>0.11688210957852221</v>
      </c>
      <c r="AU496" s="263">
        <f t="shared" si="405"/>
        <v>2.6747287129812012</v>
      </c>
      <c r="AV496" s="282">
        <f t="shared" si="406"/>
        <v>148.0496854796653</v>
      </c>
      <c r="AW496" s="243">
        <f t="shared" si="407"/>
        <v>0.26813645974235606</v>
      </c>
      <c r="AX496" s="243">
        <f t="shared" si="408"/>
        <v>16.701618212299245</v>
      </c>
      <c r="AY496" s="264">
        <f t="shared" si="409"/>
        <v>1.3964023443837146E-5</v>
      </c>
      <c r="AZ496" s="264">
        <f t="shared" si="410"/>
        <v>14463.767807392507</v>
      </c>
      <c r="BA496" s="245">
        <f t="shared" si="411"/>
        <v>4.3568801086752325E-2</v>
      </c>
      <c r="BB496" s="264">
        <f t="shared" si="412"/>
        <v>43.602851241711178</v>
      </c>
      <c r="BC496" s="246">
        <f t="shared" si="413"/>
        <v>1.0661987360589158</v>
      </c>
      <c r="BD496" s="263">
        <f t="shared" si="414"/>
        <v>3.1182928094920313E-2</v>
      </c>
      <c r="BE496" s="263">
        <f t="shared" si="444"/>
        <v>1.3085164323031111</v>
      </c>
      <c r="BF496" s="263">
        <f t="shared" si="445"/>
        <v>1.1158464416992657</v>
      </c>
      <c r="BG496" s="235">
        <f t="shared" si="415"/>
        <v>56.065111118150909</v>
      </c>
      <c r="BH496" s="235">
        <f t="shared" si="416"/>
        <v>386.68369650336575</v>
      </c>
      <c r="BI496" s="263">
        <f t="shared" si="417"/>
        <v>5.4923657872868308</v>
      </c>
      <c r="BJ496" s="247">
        <f t="shared" si="505"/>
        <v>234.34181865487537</v>
      </c>
      <c r="BK496" s="248">
        <f t="shared" si="446"/>
        <v>1.4871218368118616E-2</v>
      </c>
      <c r="BL496" s="94">
        <f t="shared" si="447"/>
        <v>9.2910519466072361E-5</v>
      </c>
      <c r="BM496" s="249">
        <f t="shared" si="448"/>
        <v>5.6987341293140072E-2</v>
      </c>
      <c r="BN496" s="247">
        <f t="shared" si="449"/>
        <v>235.34181865487537</v>
      </c>
      <c r="BO496" s="248">
        <f t="shared" si="450"/>
        <v>7.0216366069171124E-3</v>
      </c>
      <c r="BP496" s="94">
        <f t="shared" si="451"/>
        <v>4.3998363208416428E-5</v>
      </c>
      <c r="BQ496" s="249">
        <f t="shared" si="452"/>
        <v>6.6810088726057371E-2</v>
      </c>
      <c r="BR496" s="247">
        <f t="shared" si="453"/>
        <v>231.97047166090971</v>
      </c>
      <c r="BS496" s="248">
        <f t="shared" si="454"/>
        <v>3.3485300481431467E-2</v>
      </c>
      <c r="BT496" s="94">
        <f t="shared" si="455"/>
        <v>2.0774757265129459E-4</v>
      </c>
      <c r="BU496" s="249">
        <f t="shared" si="456"/>
        <v>3.3694198695607726E-2</v>
      </c>
      <c r="BV496" s="283">
        <f t="shared" si="457"/>
        <v>3.3693623374845244E-2</v>
      </c>
      <c r="BW496" s="282">
        <f t="shared" si="458"/>
        <v>2916.0533464592113</v>
      </c>
      <c r="BX496" s="265">
        <f t="shared" si="418"/>
        <v>228.56168972315606</v>
      </c>
      <c r="BY496" s="265">
        <f t="shared" si="419"/>
        <v>228.52169705200933</v>
      </c>
      <c r="BZ496" s="284">
        <f t="shared" si="506"/>
        <v>158.71022407194468</v>
      </c>
      <c r="CA496" s="248">
        <f t="shared" si="459"/>
        <v>0.60854760377687778</v>
      </c>
      <c r="CB496" s="94">
        <f t="shared" si="460"/>
        <v>3.0354433978399872E-3</v>
      </c>
      <c r="CC496" s="249">
        <f t="shared" si="461"/>
        <v>0.71017397150953465</v>
      </c>
      <c r="CD496" s="247">
        <f t="shared" si="462"/>
        <v>159.71022407194468</v>
      </c>
      <c r="CE496" s="248">
        <f t="shared" si="463"/>
        <v>0.60069802201567635</v>
      </c>
      <c r="CF496" s="94">
        <f t="shared" si="464"/>
        <v>3.005291358149754E-3</v>
      </c>
      <c r="CG496" s="249">
        <f t="shared" si="465"/>
        <v>0.77679105331662646</v>
      </c>
      <c r="CH496" s="247">
        <f t="shared" si="466"/>
        <v>157.38679939224264</v>
      </c>
      <c r="CI496" s="248">
        <f t="shared" si="467"/>
        <v>0.61893593400499081</v>
      </c>
      <c r="CJ496" s="94">
        <f t="shared" si="468"/>
        <v>3.0750264892586434E-3</v>
      </c>
      <c r="CK496" s="249">
        <f t="shared" si="469"/>
        <v>0.62201128135629935</v>
      </c>
      <c r="CL496" s="249">
        <f t="shared" si="470"/>
        <v>0.62201112092527433</v>
      </c>
      <c r="CM496" s="249">
        <f t="shared" si="471"/>
        <v>2747.8246853633214</v>
      </c>
      <c r="CN496" s="265">
        <f t="shared" si="420"/>
        <v>147.6334192340374</v>
      </c>
      <c r="CO496" s="265">
        <f t="shared" si="421"/>
        <v>148.07760790423521</v>
      </c>
      <c r="CP496" s="94">
        <f t="shared" si="472"/>
        <v>8.2337635455193223E-3</v>
      </c>
      <c r="CQ496" s="157">
        <f t="shared" si="422"/>
        <v>1.639405134355441</v>
      </c>
      <c r="CR496" s="285">
        <f t="shared" si="423"/>
        <v>2.3033438026321047</v>
      </c>
      <c r="CS496" s="157">
        <f t="shared" si="424"/>
        <v>5.1624249330946217</v>
      </c>
      <c r="CT496" s="143">
        <f t="shared" si="425"/>
        <v>233.65512984838131</v>
      </c>
      <c r="CU496" s="247">
        <f t="shared" si="473"/>
        <v>231.97047166090971</v>
      </c>
      <c r="CV496" s="248">
        <f t="shared" si="474"/>
        <v>1.3223862182235839E-2</v>
      </c>
      <c r="CW496" s="94">
        <f t="shared" si="475"/>
        <v>8.1416692608858877E-5</v>
      </c>
      <c r="CX496" s="249">
        <f t="shared" si="476"/>
        <v>3.3876441936286583E-2</v>
      </c>
      <c r="CY496" s="247">
        <f t="shared" si="477"/>
        <v>232.97047166090971</v>
      </c>
      <c r="CZ496" s="248">
        <f t="shared" si="478"/>
        <v>5.3742804210343354E-3</v>
      </c>
      <c r="DA496" s="94">
        <f t="shared" si="479"/>
        <v>3.3186521523424622E-5</v>
      </c>
      <c r="DB496" s="249">
        <f t="shared" si="480"/>
        <v>4.3699189369203889E-2</v>
      </c>
      <c r="DC496" s="247">
        <f t="shared" si="481"/>
        <v>230.80960745580819</v>
      </c>
      <c r="DD496" s="248">
        <f t="shared" si="482"/>
        <v>2.2336160673832393E-2</v>
      </c>
      <c r="DE496" s="94">
        <f t="shared" si="483"/>
        <v>1.3704713418217698E-4</v>
      </c>
      <c r="DF496" s="249">
        <f t="shared" si="484"/>
        <v>2.2473566045660059E-2</v>
      </c>
      <c r="DG496" s="283">
        <f t="shared" si="485"/>
        <v>2.2473386926837313E-2</v>
      </c>
      <c r="DH496" s="282">
        <f t="shared" si="486"/>
        <v>2907.8446805129488</v>
      </c>
      <c r="DI496" s="265">
        <f t="shared" si="426"/>
        <v>224.60848455595004</v>
      </c>
      <c r="DJ496" s="265">
        <f t="shared" si="427"/>
        <v>224.57685589841253</v>
      </c>
      <c r="DK496" s="284">
        <f t="shared" si="487"/>
        <v>157.38679939224264</v>
      </c>
      <c r="DL496" s="248">
        <f t="shared" si="488"/>
        <v>0.61893593400499081</v>
      </c>
      <c r="DM496" s="94">
        <f t="shared" si="489"/>
        <v>3.0750264892586434E-3</v>
      </c>
      <c r="DN496" s="249">
        <f t="shared" si="490"/>
        <v>0.62201128135629935</v>
      </c>
      <c r="DO496" s="247">
        <f t="shared" si="491"/>
        <v>158.38679939224264</v>
      </c>
      <c r="DP496" s="248">
        <f t="shared" si="492"/>
        <v>0.61108635224378927</v>
      </c>
      <c r="DQ496" s="94">
        <f t="shared" si="493"/>
        <v>3.0451505780926757E-3</v>
      </c>
      <c r="DR496" s="249">
        <f t="shared" si="494"/>
        <v>0.68862836316339116</v>
      </c>
      <c r="DS496" s="247">
        <f t="shared" si="495"/>
        <v>157.38679508516941</v>
      </c>
      <c r="DT496" s="248">
        <f t="shared" si="496"/>
        <v>0.61893596781371429</v>
      </c>
      <c r="DU496" s="94">
        <f t="shared" si="497"/>
        <v>3.0750266174887748E-3</v>
      </c>
      <c r="DV496" s="249">
        <f t="shared" si="498"/>
        <v>0.62201099443164987</v>
      </c>
      <c r="DW496" s="249">
        <f t="shared" si="499"/>
        <v>0.62201099443142649</v>
      </c>
      <c r="DX496" s="249">
        <f t="shared" si="500"/>
        <v>2747.8297387623593</v>
      </c>
      <c r="DY496" s="265">
        <f t="shared" si="428"/>
        <v>147.63585219718945</v>
      </c>
      <c r="DZ496" s="265">
        <f t="shared" si="429"/>
        <v>148.08004078947062</v>
      </c>
      <c r="EA496" s="94">
        <f t="shared" si="501"/>
        <v>7.8830690225215206E-3</v>
      </c>
      <c r="EB496" s="157">
        <f t="shared" si="430"/>
        <v>1.5831593816368741</v>
      </c>
      <c r="EC496" s="285">
        <f t="shared" si="502"/>
        <v>2.2355268320178827</v>
      </c>
      <c r="ED496" s="157">
        <f t="shared" si="503"/>
        <v>5.0104285096402794</v>
      </c>
      <c r="EE496" s="143">
        <f t="shared" si="431"/>
        <v>233.73112806010846</v>
      </c>
    </row>
    <row r="497" spans="1:135" ht="12" customHeight="1" x14ac:dyDescent="0.2">
      <c r="A497" s="200" t="s">
        <v>442</v>
      </c>
      <c r="B497" s="236">
        <f t="shared" si="432"/>
        <v>228.56168972315606</v>
      </c>
      <c r="C497" s="237">
        <f t="shared" si="433"/>
        <v>4.9672147753042051</v>
      </c>
      <c r="D497" s="236">
        <f t="shared" si="434"/>
        <v>2916.0533464592113</v>
      </c>
      <c r="E497" s="236">
        <f t="shared" si="504"/>
        <v>147.6334192340374</v>
      </c>
      <c r="F497" s="237">
        <f t="shared" si="435"/>
        <v>4.9981903809098034</v>
      </c>
      <c r="G497" s="238">
        <f t="shared" si="436"/>
        <v>2747.8297387623593</v>
      </c>
      <c r="H497" s="118">
        <v>0</v>
      </c>
      <c r="I497" s="239">
        <f t="shared" si="437"/>
        <v>231.22591380528831</v>
      </c>
      <c r="J497" s="154">
        <f t="shared" si="438"/>
        <v>0.30322580645161296</v>
      </c>
      <c r="K497" s="149">
        <f t="shared" si="376"/>
        <v>0.1660779897475009</v>
      </c>
      <c r="L497" s="240">
        <f t="shared" si="377"/>
        <v>231.22591380528831</v>
      </c>
      <c r="M497" s="154">
        <f t="shared" si="378"/>
        <v>0.7082230834020351</v>
      </c>
      <c r="N497" s="241">
        <f t="shared" si="379"/>
        <v>231.22591380528831</v>
      </c>
      <c r="O497" s="150">
        <f t="shared" si="380"/>
        <v>0.5675602357604308</v>
      </c>
      <c r="P497" s="150">
        <f t="shared" si="381"/>
        <v>3.1407217759352992</v>
      </c>
      <c r="Q497" s="152">
        <f t="shared" si="382"/>
        <v>2.687762156668129E-5</v>
      </c>
      <c r="R497" s="152">
        <f t="shared" si="439"/>
        <v>627.86066922686086</v>
      </c>
      <c r="S497" s="153">
        <f t="shared" si="383"/>
        <v>0.10388204686527008</v>
      </c>
      <c r="T497" s="154">
        <f t="shared" si="384"/>
        <v>0.58011098968592112</v>
      </c>
      <c r="U497" s="155">
        <f t="shared" si="385"/>
        <v>0.68169463220148274</v>
      </c>
      <c r="V497" s="154">
        <f t="shared" si="386"/>
        <v>4.1778250278316977E-2</v>
      </c>
      <c r="W497" s="154">
        <f t="shared" si="440"/>
        <v>0.29248033443236288</v>
      </c>
      <c r="X497" s="154">
        <f t="shared" si="441"/>
        <v>0.19631056263276181</v>
      </c>
      <c r="Y497" s="154">
        <f t="shared" si="387"/>
        <v>5.8560000000000008</v>
      </c>
      <c r="Z497" s="154">
        <f t="shared" si="388"/>
        <v>32.247551524778636</v>
      </c>
      <c r="AA497" s="154">
        <f t="shared" si="389"/>
        <v>0.64331006063729335</v>
      </c>
      <c r="AB497" s="1"/>
      <c r="AC497" s="242">
        <f t="shared" si="390"/>
        <v>0.11917392203878836</v>
      </c>
      <c r="AD497" s="263">
        <f t="shared" si="391"/>
        <v>2.192124701129031</v>
      </c>
      <c r="AE497" s="282">
        <f t="shared" si="392"/>
        <v>228.56168972315606</v>
      </c>
      <c r="AF497" s="243">
        <f t="shared" si="393"/>
        <v>0.32716765040812928</v>
      </c>
      <c r="AG497" s="243">
        <f t="shared" si="394"/>
        <v>20.37853857614877</v>
      </c>
      <c r="AH497" s="264">
        <f t="shared" si="395"/>
        <v>1.7304393570406485E-5</v>
      </c>
      <c r="AI497" s="264">
        <f t="shared" si="396"/>
        <v>11671.740585815955</v>
      </c>
      <c r="AJ497" s="245">
        <f t="shared" si="397"/>
        <v>4.4423093686103428E-2</v>
      </c>
      <c r="AK497" s="264">
        <f t="shared" si="398"/>
        <v>54.245356049062565</v>
      </c>
      <c r="AL497" s="246">
        <f t="shared" si="399"/>
        <v>0.98475030337328906</v>
      </c>
      <c r="AM497" s="263">
        <f t="shared" si="400"/>
        <v>3.751388616944526E-2</v>
      </c>
      <c r="AN497" s="263">
        <f t="shared" si="442"/>
        <v>0.2458592195184468</v>
      </c>
      <c r="AO497" s="263">
        <f t="shared" si="443"/>
        <v>0.16529187481738714</v>
      </c>
      <c r="AP497" s="235">
        <f t="shared" si="401"/>
        <v>6.7767004993905209</v>
      </c>
      <c r="AQ497" s="235">
        <f t="shared" si="402"/>
        <v>56.228517017287189</v>
      </c>
      <c r="AR497" s="263">
        <f t="shared" si="403"/>
        <v>0.79865685036176715</v>
      </c>
      <c r="AT497" s="242">
        <f t="shared" si="404"/>
        <v>0.11686998587014732</v>
      </c>
      <c r="AU497" s="263">
        <f t="shared" si="405"/>
        <v>2.6749485574937961</v>
      </c>
      <c r="AV497" s="282">
        <f t="shared" si="406"/>
        <v>147.6334192340374</v>
      </c>
      <c r="AW497" s="243">
        <f t="shared" si="407"/>
        <v>0.26811442255994522</v>
      </c>
      <c r="AX497" s="243">
        <f t="shared" si="408"/>
        <v>16.700245565672024</v>
      </c>
      <c r="AY497" s="264">
        <f t="shared" si="409"/>
        <v>1.3946761619396727E-5</v>
      </c>
      <c r="AZ497" s="264">
        <f t="shared" si="410"/>
        <v>14481.669527336653</v>
      </c>
      <c r="BA497" s="245">
        <f t="shared" si="411"/>
        <v>4.356428187127509E-2</v>
      </c>
      <c r="BB497" s="264">
        <f t="shared" si="412"/>
        <v>43.594745302720639</v>
      </c>
      <c r="BC497" s="246">
        <f t="shared" si="413"/>
        <v>1.0667213883637643</v>
      </c>
      <c r="BD497" s="263">
        <f t="shared" si="414"/>
        <v>3.1153396833973716E-2</v>
      </c>
      <c r="BE497" s="263">
        <f t="shared" si="444"/>
        <v>1.5011864229069567</v>
      </c>
      <c r="BF497" s="263">
        <f t="shared" si="445"/>
        <v>1.5011864229069565</v>
      </c>
      <c r="BG497" s="235">
        <f t="shared" si="415"/>
        <v>75.515790199559078</v>
      </c>
      <c r="BH497" s="235">
        <f t="shared" si="416"/>
        <v>520.34269205475698</v>
      </c>
      <c r="BI497" s="263">
        <f t="shared" si="417"/>
        <v>7.3908272454962383</v>
      </c>
      <c r="BJ497" s="247">
        <f t="shared" si="505"/>
        <v>231.97047166090971</v>
      </c>
      <c r="BK497" s="248">
        <f t="shared" si="446"/>
        <v>-5.8095827831342629E-3</v>
      </c>
      <c r="BL497" s="94">
        <f t="shared" si="447"/>
        <v>-3.5724549873745142E-5</v>
      </c>
      <c r="BM497" s="249">
        <f t="shared" si="448"/>
        <v>3.3020648041520252E-2</v>
      </c>
      <c r="BN497" s="247">
        <f t="shared" si="449"/>
        <v>232.97047166090971</v>
      </c>
      <c r="BO497" s="248">
        <f t="shared" si="450"/>
        <v>-1.3612311260541424E-2</v>
      </c>
      <c r="BP497" s="94">
        <f t="shared" si="451"/>
        <v>-8.3954720959179377E-5</v>
      </c>
      <c r="BQ497" s="249">
        <f t="shared" si="452"/>
        <v>4.2707582742682312E-2</v>
      </c>
      <c r="BR497" s="247">
        <f t="shared" si="453"/>
        <v>229.75435855087682</v>
      </c>
      <c r="BS497" s="248">
        <f t="shared" si="454"/>
        <v>1.1482146089674737E-2</v>
      </c>
      <c r="BT497" s="94">
        <f t="shared" si="455"/>
        <v>7.0142527043035537E-5</v>
      </c>
      <c r="BU497" s="249">
        <f t="shared" si="456"/>
        <v>1.1553305054242432E-2</v>
      </c>
      <c r="BV497" s="283">
        <f t="shared" si="457"/>
        <v>1.1552796835480102E-2</v>
      </c>
      <c r="BW497" s="282">
        <f t="shared" si="458"/>
        <v>2916.0694548265637</v>
      </c>
      <c r="BX497" s="265">
        <f t="shared" si="418"/>
        <v>228.56826171599235</v>
      </c>
      <c r="BY497" s="265">
        <f t="shared" si="419"/>
        <v>228.54497938400084</v>
      </c>
      <c r="BZ497" s="284">
        <f t="shared" si="506"/>
        <v>157.38679939224264</v>
      </c>
      <c r="CA497" s="248">
        <f t="shared" si="459"/>
        <v>0.57614656077719695</v>
      </c>
      <c r="CB497" s="94">
        <f t="shared" si="460"/>
        <v>2.8315543667336036E-3</v>
      </c>
      <c r="CC497" s="249">
        <f t="shared" si="461"/>
        <v>0.87432793471495229</v>
      </c>
      <c r="CD497" s="247">
        <f t="shared" si="462"/>
        <v>158.38679939224264</v>
      </c>
      <c r="CE497" s="248">
        <f t="shared" si="463"/>
        <v>0.56834383229978969</v>
      </c>
      <c r="CF497" s="94">
        <f t="shared" si="464"/>
        <v>2.8016784555676354E-3</v>
      </c>
      <c r="CG497" s="249">
        <f t="shared" si="465"/>
        <v>0.96397151678935811</v>
      </c>
      <c r="CH497" s="247">
        <f t="shared" si="466"/>
        <v>154.35683042968793</v>
      </c>
      <c r="CI497" s="248">
        <f t="shared" si="467"/>
        <v>0.59978858588698236</v>
      </c>
      <c r="CJ497" s="94">
        <f t="shared" si="468"/>
        <v>2.9208144161730707E-3</v>
      </c>
      <c r="CK497" s="249">
        <f t="shared" si="469"/>
        <v>0.6027106633372773</v>
      </c>
      <c r="CL497" s="249">
        <f t="shared" si="470"/>
        <v>0.60271003182021632</v>
      </c>
      <c r="CM497" s="249">
        <f t="shared" si="471"/>
        <v>2746.9843109727794</v>
      </c>
      <c r="CN497" s="265">
        <f t="shared" si="420"/>
        <v>151.21713292443559</v>
      </c>
      <c r="CO497" s="265">
        <f t="shared" si="421"/>
        <v>149.6473704143354</v>
      </c>
      <c r="CP497" s="94">
        <f t="shared" si="472"/>
        <v>7.5578849333898116E-3</v>
      </c>
      <c r="CQ497" s="157">
        <f t="shared" si="422"/>
        <v>1.5210919500674007</v>
      </c>
      <c r="CR497" s="285">
        <f t="shared" si="423"/>
        <v>2.1429132951735479</v>
      </c>
      <c r="CS497" s="157">
        <f t="shared" si="424"/>
        <v>4.8028561831812766</v>
      </c>
      <c r="CT497" s="143">
        <f t="shared" si="425"/>
        <v>228.82448571369767</v>
      </c>
      <c r="CU497" s="247">
        <f t="shared" si="473"/>
        <v>229.75435855087682</v>
      </c>
      <c r="CV497" s="248">
        <f t="shared" si="474"/>
        <v>-7.2555452670251212E-3</v>
      </c>
      <c r="CW497" s="94">
        <f t="shared" si="475"/>
        <v>-4.4006521128339305E-5</v>
      </c>
      <c r="CX497" s="249">
        <f t="shared" si="476"/>
        <v>1.1715177018473364E-2</v>
      </c>
      <c r="CY497" s="247">
        <f t="shared" si="477"/>
        <v>230.75435855087682</v>
      </c>
      <c r="CZ497" s="248">
        <f t="shared" si="478"/>
        <v>-1.5058273744432278E-2</v>
      </c>
      <c r="DA497" s="94">
        <f t="shared" si="479"/>
        <v>-9.1605109177549015E-5</v>
      </c>
      <c r="DB497" s="249">
        <f t="shared" si="480"/>
        <v>2.1402111719635429E-2</v>
      </c>
      <c r="DC497" s="247">
        <f t="shared" si="481"/>
        <v>228.67011124592864</v>
      </c>
      <c r="DD497" s="248">
        <f t="shared" si="482"/>
        <v>1.2045420558459941E-3</v>
      </c>
      <c r="DE497" s="94">
        <f t="shared" si="483"/>
        <v>7.2821835090481916E-6</v>
      </c>
      <c r="DF497" s="249">
        <f t="shared" si="484"/>
        <v>1.2121441755294079E-3</v>
      </c>
      <c r="DG497" s="283">
        <f t="shared" si="485"/>
        <v>1.211984207442225E-3</v>
      </c>
      <c r="DH497" s="282">
        <f t="shared" si="486"/>
        <v>2907.8463704142878</v>
      </c>
      <c r="DI497" s="265">
        <f t="shared" si="426"/>
        <v>224.60809218649047</v>
      </c>
      <c r="DJ497" s="265">
        <f t="shared" si="427"/>
        <v>224.5924740424515</v>
      </c>
      <c r="DK497" s="284">
        <f t="shared" si="487"/>
        <v>154.35683042968793</v>
      </c>
      <c r="DL497" s="248">
        <f t="shared" si="488"/>
        <v>0.59978858588698236</v>
      </c>
      <c r="DM497" s="94">
        <f t="shared" si="489"/>
        <v>2.9208144161730707E-3</v>
      </c>
      <c r="DN497" s="249">
        <f t="shared" si="490"/>
        <v>0.6027106633372773</v>
      </c>
      <c r="DO497" s="247">
        <f t="shared" si="491"/>
        <v>155.35683042968793</v>
      </c>
      <c r="DP497" s="248">
        <f t="shared" si="492"/>
        <v>0.59198585740957521</v>
      </c>
      <c r="DQ497" s="94">
        <f t="shared" si="493"/>
        <v>2.8915643395142116E-3</v>
      </c>
      <c r="DR497" s="249">
        <f t="shared" si="494"/>
        <v>0.69235424541168311</v>
      </c>
      <c r="DS497" s="247">
        <f t="shared" si="495"/>
        <v>154.3568174722439</v>
      </c>
      <c r="DT497" s="248">
        <f t="shared" si="496"/>
        <v>0.59978868699039989</v>
      </c>
      <c r="DU497" s="94">
        <f t="shared" si="497"/>
        <v>2.9208147938515842E-3</v>
      </c>
      <c r="DV497" s="249">
        <f t="shared" si="498"/>
        <v>0.60270950178558003</v>
      </c>
      <c r="DW497" s="249">
        <f t="shared" si="499"/>
        <v>0.60270950178491578</v>
      </c>
      <c r="DX497" s="249">
        <f t="shared" si="500"/>
        <v>2746.9893651108591</v>
      </c>
      <c r="DY497" s="265">
        <f t="shared" si="428"/>
        <v>151.21713292443559</v>
      </c>
      <c r="DZ497" s="265">
        <f t="shared" si="429"/>
        <v>149.6485868569531</v>
      </c>
      <c r="EA497" s="94">
        <f t="shared" si="501"/>
        <v>7.2410071756660744E-3</v>
      </c>
      <c r="EB497" s="157">
        <f t="shared" si="430"/>
        <v>1.4690761188612023</v>
      </c>
      <c r="EC497" s="285">
        <f t="shared" si="502"/>
        <v>2.0802386120298908</v>
      </c>
      <c r="ED497" s="157">
        <f t="shared" si="503"/>
        <v>4.6623850357282191</v>
      </c>
      <c r="EE497" s="143">
        <f t="shared" si="431"/>
        <v>228.8947212874242</v>
      </c>
    </row>
    <row r="498" spans="1:135" ht="12" customHeight="1" x14ac:dyDescent="0.2">
      <c r="A498" s="200" t="s">
        <v>483</v>
      </c>
      <c r="B498" s="236">
        <f t="shared" si="432"/>
        <v>228.56826171599235</v>
      </c>
      <c r="C498" s="237">
        <f t="shared" si="433"/>
        <v>4.9666723217437143</v>
      </c>
      <c r="D498" s="236">
        <f t="shared" si="434"/>
        <v>2916.0694548265637</v>
      </c>
      <c r="E498" s="236">
        <f t="shared" si="504"/>
        <v>151.21713292443559</v>
      </c>
      <c r="F498" s="237">
        <f t="shared" si="435"/>
        <v>4.9986263283628309</v>
      </c>
      <c r="G498" s="238">
        <f t="shared" si="436"/>
        <v>2746.9893651108591</v>
      </c>
      <c r="H498" s="118">
        <v>1</v>
      </c>
      <c r="I498" s="239">
        <f t="shared" si="437"/>
        <v>226.56352876956009</v>
      </c>
      <c r="J498" s="154">
        <f>J497</f>
        <v>0.30322580645161296</v>
      </c>
      <c r="K498" s="149">
        <f t="shared" si="376"/>
        <v>1</v>
      </c>
      <c r="L498" s="240">
        <f t="shared" si="377"/>
        <v>226.56352876956009</v>
      </c>
      <c r="M498" s="154">
        <f t="shared" si="378"/>
        <v>0.71720955016161148</v>
      </c>
      <c r="N498" s="241">
        <f t="shared" si="379"/>
        <v>226.56352876956009</v>
      </c>
      <c r="O498" s="150">
        <f t="shared" si="380"/>
        <v>0.56044883966765813</v>
      </c>
      <c r="P498" s="150">
        <f t="shared" si="381"/>
        <v>3.1013692717276231</v>
      </c>
      <c r="Q498" s="152">
        <f t="shared" si="382"/>
        <v>2.6718532313788183E-5</v>
      </c>
      <c r="R498" s="152">
        <f t="shared" si="439"/>
        <v>631.59911876500098</v>
      </c>
      <c r="S498" s="153">
        <f t="shared" si="383"/>
        <v>0.10368994101308575</v>
      </c>
      <c r="T498" s="154">
        <f t="shared" si="384"/>
        <v>3.4492369306318862</v>
      </c>
      <c r="U498" s="155">
        <f t="shared" si="385"/>
        <v>0.68176026946455404</v>
      </c>
      <c r="V498" s="154">
        <f t="shared" si="386"/>
        <v>4.1544809321963104E-2</v>
      </c>
      <c r="W498" s="154">
        <v>0</v>
      </c>
      <c r="X498" s="154">
        <v>0</v>
      </c>
      <c r="Y498" s="154">
        <f t="shared" si="387"/>
        <v>0</v>
      </c>
      <c r="Z498" s="154">
        <f t="shared" si="388"/>
        <v>0</v>
      </c>
      <c r="AA498" s="154">
        <f t="shared" si="389"/>
        <v>0</v>
      </c>
      <c r="AB498" s="1"/>
      <c r="AC498" s="242">
        <f t="shared" si="390"/>
        <v>0</v>
      </c>
      <c r="AD498" s="263">
        <f t="shared" si="391"/>
        <v>2.1918481712758267</v>
      </c>
      <c r="AE498" s="282">
        <f t="shared" si="392"/>
        <v>228.56826171599235</v>
      </c>
      <c r="AF498" s="243">
        <f t="shared" si="393"/>
        <v>0.32720892681747465</v>
      </c>
      <c r="AG498" s="243">
        <f t="shared" si="394"/>
        <v>20.38110959103695</v>
      </c>
      <c r="AH498" s="264">
        <f t="shared" si="395"/>
        <v>1.7304666372860885E-5</v>
      </c>
      <c r="AI498" s="264">
        <f t="shared" si="396"/>
        <v>11671.556584610131</v>
      </c>
      <c r="AJ498" s="245">
        <f t="shared" si="397"/>
        <v>4.4423161913547553E-2</v>
      </c>
      <c r="AK498" s="264">
        <f t="shared" si="398"/>
        <v>0</v>
      </c>
      <c r="AL498" s="246">
        <f t="shared" si="399"/>
        <v>0.98474041441058402</v>
      </c>
      <c r="AM498" s="263">
        <f t="shared" si="400"/>
        <v>3.751426062400455E-2</v>
      </c>
      <c r="AN498" s="263">
        <f t="shared" si="442"/>
        <v>0.2458592195184468</v>
      </c>
      <c r="AO498" s="263">
        <v>1</v>
      </c>
      <c r="AP498" s="235">
        <f t="shared" si="401"/>
        <v>0</v>
      </c>
      <c r="AQ498" s="235">
        <f t="shared" si="402"/>
        <v>0</v>
      </c>
      <c r="AR498" s="263">
        <f t="shared" si="403"/>
        <v>0</v>
      </c>
      <c r="AT498" s="242">
        <f t="shared" si="404"/>
        <v>0</v>
      </c>
      <c r="AU498" s="263">
        <f t="shared" si="405"/>
        <v>2.6751683600263125</v>
      </c>
      <c r="AV498" s="282">
        <f t="shared" si="406"/>
        <v>151.21713292443559</v>
      </c>
      <c r="AW498" s="243">
        <f t="shared" si="407"/>
        <v>0.26809239320659184</v>
      </c>
      <c r="AX498" s="243">
        <f t="shared" si="408"/>
        <v>16.698873406699217</v>
      </c>
      <c r="AY498" s="264">
        <f t="shared" si="409"/>
        <v>1.4095374809642983E-5</v>
      </c>
      <c r="AZ498" s="264">
        <f t="shared" si="410"/>
        <v>14328.983476939673</v>
      </c>
      <c r="BA498" s="245">
        <f t="shared" si="411"/>
        <v>4.360315189096791E-2</v>
      </c>
      <c r="BB498" s="264">
        <f t="shared" si="412"/>
        <v>0</v>
      </c>
      <c r="BC498" s="246">
        <f t="shared" si="413"/>
        <v>1.0623506537594773</v>
      </c>
      <c r="BD498" s="263">
        <f t="shared" si="414"/>
        <v>3.1411176144440389E-2</v>
      </c>
      <c r="BE498" s="263">
        <v>0</v>
      </c>
      <c r="BF498" s="263">
        <v>0</v>
      </c>
      <c r="BG498" s="235">
        <f t="shared" si="415"/>
        <v>0</v>
      </c>
      <c r="BH498" s="235">
        <f t="shared" si="416"/>
        <v>0</v>
      </c>
      <c r="BI498" s="263">
        <f t="shared" si="417"/>
        <v>0</v>
      </c>
      <c r="BJ498" s="247"/>
      <c r="BK498" s="248"/>
      <c r="BL498" s="94"/>
      <c r="BM498" s="249"/>
      <c r="BN498" s="247"/>
      <c r="BO498" s="248"/>
      <c r="BP498" s="94"/>
      <c r="BQ498" s="249"/>
      <c r="BR498" s="247"/>
      <c r="BS498" s="248"/>
      <c r="BT498" s="94"/>
      <c r="BU498" s="249">
        <f t="shared" si="456"/>
        <v>0</v>
      </c>
      <c r="BV498" s="283">
        <f t="shared" si="457"/>
        <v>0</v>
      </c>
      <c r="BW498" s="282">
        <f t="shared" si="458"/>
        <v>2916.0694548265637</v>
      </c>
      <c r="BX498" s="265">
        <f t="shared" si="418"/>
        <v>228.56707588617786</v>
      </c>
      <c r="BY498" s="265">
        <f t="shared" si="419"/>
        <v>228.55602763508935</v>
      </c>
      <c r="BZ498" s="284"/>
      <c r="CA498" s="248"/>
      <c r="CB498" s="94"/>
      <c r="CC498" s="249"/>
      <c r="CD498" s="247"/>
      <c r="CE498" s="248"/>
      <c r="CF498" s="94"/>
      <c r="CG498" s="249"/>
      <c r="CH498" s="247"/>
      <c r="CI498" s="248"/>
      <c r="CJ498" s="94"/>
      <c r="CK498" s="249">
        <f t="shared" si="469"/>
        <v>0</v>
      </c>
      <c r="CL498" s="249">
        <f t="shared" si="470"/>
        <v>0</v>
      </c>
      <c r="CM498" s="249">
        <f t="shared" si="471"/>
        <v>2746.9843109727794</v>
      </c>
      <c r="CN498" s="265">
        <f t="shared" si="420"/>
        <v>151.22047762669018</v>
      </c>
      <c r="CO498" s="265">
        <f t="shared" si="421"/>
        <v>150.43392402051279</v>
      </c>
      <c r="CP498" s="94"/>
      <c r="CQ498" s="157">
        <f t="shared" si="422"/>
        <v>0</v>
      </c>
      <c r="CR498" s="285">
        <f t="shared" si="423"/>
        <v>0</v>
      </c>
      <c r="CS498" s="157">
        <f t="shared" si="424"/>
        <v>0</v>
      </c>
      <c r="CT498" s="143">
        <f t="shared" si="425"/>
        <v>226.56352876956009</v>
      </c>
      <c r="CU498" s="247"/>
      <c r="CV498" s="248"/>
      <c r="CW498" s="94"/>
      <c r="CX498" s="249"/>
      <c r="CY498" s="247"/>
      <c r="CZ498" s="248"/>
      <c r="DA498" s="94"/>
      <c r="DB498" s="249"/>
      <c r="DC498" s="247"/>
      <c r="DD498" s="248"/>
      <c r="DE498" s="94"/>
      <c r="DF498" s="249">
        <v>0</v>
      </c>
      <c r="DG498" s="283">
        <v>0</v>
      </c>
      <c r="DH498" s="282">
        <f t="shared" si="486"/>
        <v>2907.8463704142878</v>
      </c>
      <c r="DI498" s="265">
        <f t="shared" si="426"/>
        <v>224.60688576883973</v>
      </c>
      <c r="DJ498" s="265">
        <f t="shared" si="427"/>
        <v>224.59967990564562</v>
      </c>
      <c r="DK498" s="284"/>
      <c r="DL498" s="248"/>
      <c r="DM498" s="94"/>
      <c r="DN498" s="249"/>
      <c r="DO498" s="247"/>
      <c r="DP498" s="248"/>
      <c r="DQ498" s="94"/>
      <c r="DR498" s="249"/>
      <c r="DS498" s="247"/>
      <c r="DT498" s="248"/>
      <c r="DU498" s="94"/>
      <c r="DV498" s="249">
        <v>0</v>
      </c>
      <c r="DW498" s="249">
        <v>0</v>
      </c>
      <c r="DX498" s="249">
        <f t="shared" si="500"/>
        <v>2746.9893651108591</v>
      </c>
      <c r="DY498" s="265">
        <f t="shared" si="428"/>
        <v>151.22047762669018</v>
      </c>
      <c r="DZ498" s="265">
        <f t="shared" si="429"/>
        <v>150.43453224182164</v>
      </c>
      <c r="EA498" s="94">
        <f t="shared" si="501"/>
        <v>0</v>
      </c>
      <c r="EB498" s="157">
        <f t="shared" si="430"/>
        <v>0</v>
      </c>
      <c r="EC498" s="285">
        <v>0</v>
      </c>
      <c r="ED498" s="157">
        <f t="shared" si="503"/>
        <v>0</v>
      </c>
      <c r="EE498" s="143">
        <f t="shared" si="431"/>
        <v>226.56352876956009</v>
      </c>
    </row>
    <row r="499" spans="1:135" ht="12" customHeight="1" x14ac:dyDescent="0.2">
      <c r="A499" s="36"/>
      <c r="B499" s="236">
        <f t="shared" si="432"/>
        <v>228.56707588617786</v>
      </c>
      <c r="C499" s="237">
        <f t="shared" si="433"/>
        <v>4.9666723217437143</v>
      </c>
      <c r="D499" s="236">
        <f t="shared" si="434"/>
        <v>2916.0694548265637</v>
      </c>
      <c r="E499" s="236">
        <f t="shared" si="504"/>
        <v>151.22047762669018</v>
      </c>
      <c r="F499" s="237">
        <f t="shared" si="435"/>
        <v>4.9986263283628309</v>
      </c>
      <c r="G499" s="238">
        <f t="shared" si="436"/>
        <v>2746.9893651108591</v>
      </c>
      <c r="I499" s="239">
        <f t="shared" si="437"/>
        <v>226.56352876956009</v>
      </c>
      <c r="J499" s="1"/>
      <c r="K499" s="163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63"/>
      <c r="AD499" s="1"/>
      <c r="AE499" s="1"/>
      <c r="AF499" s="1"/>
      <c r="AG499" s="1"/>
      <c r="AH499" s="1"/>
      <c r="AI499" s="1"/>
      <c r="AJ499" s="1"/>
      <c r="AK499" s="13"/>
      <c r="AL499" s="1"/>
      <c r="AM499" s="1"/>
      <c r="AN499" s="1"/>
      <c r="AO499" s="1"/>
      <c r="AP499" s="1"/>
      <c r="AQ499" s="1"/>
      <c r="AR499" s="1"/>
      <c r="AT499" s="163"/>
      <c r="AU499" s="1"/>
      <c r="AV499" s="1"/>
      <c r="AW499" s="1"/>
      <c r="AX499" s="1"/>
      <c r="AY499" s="1"/>
      <c r="AZ499" s="1"/>
      <c r="BA499" s="1"/>
      <c r="BB499" s="13"/>
      <c r="BC499" s="1"/>
      <c r="BD499" s="1"/>
      <c r="BE499" s="1"/>
      <c r="BF499" s="1"/>
      <c r="BG499" s="1"/>
      <c r="BH499" s="1"/>
      <c r="BI499" s="1"/>
      <c r="BJ499" s="1"/>
      <c r="BK499" s="168"/>
      <c r="BL499" s="286"/>
      <c r="BM499" s="1"/>
      <c r="BN499" s="1"/>
      <c r="BO499" s="167"/>
      <c r="BP499" s="169"/>
      <c r="BQ499" s="1"/>
      <c r="BR499" s="168"/>
      <c r="BS499" s="1"/>
      <c r="BT499" s="14"/>
      <c r="BU499" s="1"/>
      <c r="BW499" s="1"/>
      <c r="BX499" s="1"/>
      <c r="BY499" s="38"/>
      <c r="CA499" s="24"/>
      <c r="CD499" s="156"/>
      <c r="CE499" s="156"/>
      <c r="CF499" s="156"/>
      <c r="DE499" s="27">
        <f>SUM(DE473:DE498)</f>
        <v>0.3860472052479843</v>
      </c>
      <c r="DU499" s="27"/>
      <c r="DV499" s="27"/>
      <c r="DW499" s="27"/>
      <c r="EA499" s="27"/>
      <c r="EB499" s="166"/>
    </row>
    <row r="500" spans="1:135" ht="12" customHeight="1" x14ac:dyDescent="0.2">
      <c r="A500" s="36" t="s">
        <v>484</v>
      </c>
      <c r="B500" s="227"/>
      <c r="C500" s="227"/>
      <c r="D500" s="208" t="s">
        <v>196</v>
      </c>
      <c r="E500" s="293">
        <f>E499-B147</f>
        <v>-0.51712450863436743</v>
      </c>
      <c r="F500" s="165" t="s">
        <v>432</v>
      </c>
      <c r="G500" s="294">
        <f>G499-B145</f>
        <v>-9.3463082844232304</v>
      </c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W500" s="1"/>
      <c r="AX500" s="1"/>
      <c r="AY500" s="1"/>
      <c r="AZ500" s="1"/>
      <c r="BA500" s="14"/>
      <c r="BB500" s="1"/>
      <c r="BC500" s="1"/>
      <c r="BD500" s="1"/>
      <c r="BE500" s="26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D500" s="38"/>
      <c r="EB500" s="166"/>
    </row>
    <row r="501" spans="1:135" ht="12" customHeight="1" x14ac:dyDescent="0.2">
      <c r="A501" s="36"/>
      <c r="C501" s="12"/>
      <c r="D501" s="112"/>
      <c r="E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4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D501" s="38"/>
      <c r="DW501" s="295"/>
    </row>
    <row r="502" spans="1:135" ht="12" customHeight="1" x14ac:dyDescent="0.25">
      <c r="A502"/>
      <c r="B502"/>
      <c r="C502"/>
      <c r="D502"/>
      <c r="E502"/>
      <c r="F502"/>
      <c r="G50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4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D502" s="38"/>
    </row>
    <row r="503" spans="1:135" ht="12" customHeight="1" x14ac:dyDescent="0.2">
      <c r="A503" s="36" t="s">
        <v>504</v>
      </c>
      <c r="C503" s="12">
        <f>IF(B418=0,B147,B499-E500)</f>
        <v>229.08420039481223</v>
      </c>
      <c r="D503" s="112"/>
      <c r="E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4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D503" s="38"/>
    </row>
    <row r="504" spans="1:135" ht="12" customHeight="1" x14ac:dyDescent="0.2">
      <c r="A504" s="36" t="s">
        <v>505</v>
      </c>
      <c r="C504" s="12">
        <f>IF(B418=0,0,(B499-E499))</f>
        <v>77.346598259487678</v>
      </c>
      <c r="D504" s="287" t="s">
        <v>47</v>
      </c>
      <c r="E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4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CC504" s="1"/>
      <c r="CD504" s="38"/>
    </row>
    <row r="505" spans="1:135" ht="12" customHeight="1" x14ac:dyDescent="0.2">
      <c r="A505" s="36" t="s">
        <v>506</v>
      </c>
      <c r="C505" s="13">
        <f>IF(B418=0,0,((B436-C499)*100000))</f>
        <v>3332.7678256285685</v>
      </c>
      <c r="D505" s="287" t="s">
        <v>280</v>
      </c>
      <c r="F505" s="26">
        <f>C505/100000*14.7</f>
        <v>0.48991687036739956</v>
      </c>
      <c r="G505" s="1" t="s">
        <v>507</v>
      </c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4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CD505" s="38"/>
    </row>
    <row r="506" spans="1:135" ht="12" customHeight="1" x14ac:dyDescent="0.25">
      <c r="A506" s="36" t="s">
        <v>485</v>
      </c>
      <c r="C506" s="13">
        <f>IF(B418=0,0,SUM(T472:T498))</f>
        <v>32.290475088594221</v>
      </c>
      <c r="D506" s="287" t="s">
        <v>280</v>
      </c>
      <c r="E506" s="1"/>
      <c r="F506" s="99">
        <f>C506/1000/9.81*1000</f>
        <v>3.2915876746783095</v>
      </c>
      <c r="G506" s="1" t="s">
        <v>380</v>
      </c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4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CD506" s="38"/>
      <c r="CF506"/>
      <c r="CG506"/>
      <c r="CH506"/>
      <c r="CI506"/>
      <c r="CJ506"/>
      <c r="CK506"/>
    </row>
    <row r="507" spans="1:135" ht="12" customHeight="1" x14ac:dyDescent="0.2">
      <c r="A507" s="9" t="s">
        <v>508</v>
      </c>
      <c r="C507" s="165">
        <f>IF(B418=0,"N.A.",I499)</f>
        <v>226.56352876956009</v>
      </c>
      <c r="D507" s="9" t="s">
        <v>47</v>
      </c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4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CD507" s="38"/>
      <c r="CF507" s="255"/>
      <c r="CG507" s="296"/>
      <c r="CH507" s="209"/>
      <c r="CI507" s="208"/>
      <c r="CJ507" s="208"/>
      <c r="CK507" s="208"/>
    </row>
    <row r="508" spans="1:135" ht="12" customHeight="1" x14ac:dyDescent="0.2">
      <c r="A508" s="1" t="s">
        <v>509</v>
      </c>
      <c r="B508" s="1"/>
      <c r="C508" s="37">
        <f>IF(B418=0,G403,(I499*B421*B418+G403*D371*B362)/B43)</f>
        <v>266.08117761356408</v>
      </c>
      <c r="D508" s="287" t="s">
        <v>47</v>
      </c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4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CD508" s="38"/>
      <c r="CF508" s="255"/>
      <c r="CG508" s="296"/>
      <c r="CH508" s="209"/>
      <c r="CI508" s="208"/>
      <c r="CJ508" s="208"/>
      <c r="CK508" s="208"/>
    </row>
    <row r="509" spans="1:135" ht="12" customHeight="1" x14ac:dyDescent="0.25">
      <c r="A509"/>
      <c r="B509"/>
      <c r="C509"/>
      <c r="D509"/>
      <c r="E509"/>
      <c r="F509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4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CD509" s="38"/>
      <c r="CF509" s="255"/>
      <c r="CG509" s="296"/>
      <c r="CH509" s="209"/>
      <c r="CI509" s="208"/>
      <c r="CJ509" s="208"/>
      <c r="CK509" s="208"/>
    </row>
    <row r="510" spans="1:135" ht="12" customHeight="1" x14ac:dyDescent="0.2">
      <c r="A510" s="36" t="s">
        <v>294</v>
      </c>
      <c r="B510" s="1"/>
      <c r="C510" s="99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4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CD510" s="38"/>
      <c r="CF510" s="255"/>
      <c r="CG510" s="296"/>
      <c r="CH510" s="209"/>
      <c r="CI510" s="208"/>
      <c r="CJ510" s="208"/>
      <c r="CK510" s="208"/>
    </row>
    <row r="511" spans="1:135" ht="12" customHeight="1" x14ac:dyDescent="0.25">
      <c r="A511" s="36" t="s">
        <v>367</v>
      </c>
      <c r="B511"/>
      <c r="C511" s="26">
        <f>C121</f>
        <v>4.9725718173258766</v>
      </c>
      <c r="D511" s="1" t="s">
        <v>268</v>
      </c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4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CD511" s="38"/>
      <c r="CF511" s="255"/>
      <c r="CG511" s="296"/>
      <c r="CH511" s="209"/>
      <c r="CI511" s="208"/>
      <c r="CJ511" s="208"/>
      <c r="CK511" s="208"/>
    </row>
    <row r="512" spans="1:135" ht="12" customHeight="1" x14ac:dyDescent="0.25">
      <c r="A512" s="36" t="s">
        <v>368</v>
      </c>
      <c r="B512"/>
      <c r="C512" s="26">
        <f>B408</f>
        <v>4.2647652814813153</v>
      </c>
      <c r="D512" s="1" t="s">
        <v>268</v>
      </c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4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CD512" s="38"/>
      <c r="CF512" s="255"/>
      <c r="CG512" s="296"/>
      <c r="CH512" s="209"/>
      <c r="CI512" s="208"/>
      <c r="CJ512" s="208"/>
      <c r="CK512" s="208"/>
    </row>
    <row r="513" spans="1:89" ht="12" customHeight="1" x14ac:dyDescent="0.25">
      <c r="A513" s="36" t="s">
        <v>369</v>
      </c>
      <c r="B513"/>
      <c r="C513" s="26">
        <f>IF(B418=0,0,SUM(EA472:EB498)/1000*B418)</f>
        <v>1.2281694416053712</v>
      </c>
      <c r="D513" s="1" t="s">
        <v>268</v>
      </c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4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CD513" s="38"/>
      <c r="CF513" s="255"/>
      <c r="CG513" s="296"/>
      <c r="CH513" s="209"/>
      <c r="CI513" s="208"/>
      <c r="CJ513" s="208"/>
      <c r="CK513" s="208"/>
    </row>
    <row r="514" spans="1:89" ht="12" customHeight="1" x14ac:dyDescent="0.25">
      <c r="A514" s="36" t="s">
        <v>371</v>
      </c>
      <c r="B514"/>
      <c r="C514" s="26">
        <f>C132/1000</f>
        <v>0.76002082605977894</v>
      </c>
      <c r="D514" s="1" t="s">
        <v>268</v>
      </c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4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CD514" s="38"/>
      <c r="CF514" s="255"/>
      <c r="CG514" s="296"/>
      <c r="CH514" s="209"/>
      <c r="CI514" s="208"/>
      <c r="CJ514" s="208"/>
      <c r="CK514" s="208"/>
    </row>
    <row r="515" spans="1:89" ht="12" customHeight="1" x14ac:dyDescent="0.25">
      <c r="A515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4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CD515" s="38"/>
      <c r="CF515" s="255"/>
      <c r="CG515" s="296"/>
      <c r="CH515" s="209"/>
      <c r="CI515" s="208"/>
      <c r="CJ515" s="208"/>
      <c r="CK515" s="208"/>
    </row>
    <row r="516" spans="1:89" ht="12" customHeight="1" x14ac:dyDescent="0.2">
      <c r="A516" s="9" t="s">
        <v>375</v>
      </c>
      <c r="B516" s="13"/>
      <c r="C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4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CD516" s="38"/>
      <c r="CF516" s="255"/>
      <c r="CG516" s="296"/>
      <c r="CH516" s="209"/>
      <c r="CI516" s="208"/>
      <c r="CJ516" s="208"/>
      <c r="CK516" s="208"/>
    </row>
    <row r="517" spans="1:89" ht="12" customHeight="1" x14ac:dyDescent="0.25">
      <c r="A517" s="36" t="s">
        <v>510</v>
      </c>
      <c r="B517"/>
      <c r="C517" s="13">
        <f>(C511+C512+C513-C514)/(B10-B5)</f>
        <v>3.6145637806799307E-3</v>
      </c>
      <c r="D517" s="1" t="s">
        <v>301</v>
      </c>
      <c r="E517" s="37">
        <f>C517/0.454*3600</f>
        <v>28.661739230061123</v>
      </c>
      <c r="F517" s="1" t="s">
        <v>377</v>
      </c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4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CD517" s="38"/>
      <c r="CF517" s="255"/>
      <c r="CG517" s="296"/>
      <c r="CH517" s="209"/>
      <c r="CI517" s="208"/>
      <c r="CJ517" s="208"/>
      <c r="CK517" s="208"/>
    </row>
    <row r="518" spans="1:89" ht="12" customHeight="1" x14ac:dyDescent="0.2">
      <c r="A518" s="1" t="s">
        <v>511</v>
      </c>
      <c r="B518" s="1"/>
      <c r="C518" s="99">
        <f>C517/'Data Input'!B6/('Data Input'!B35*'Data Input'!B36/1000000)</f>
        <v>6.3934810102399213</v>
      </c>
      <c r="D518" s="1" t="s">
        <v>512</v>
      </c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4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CD518" s="38"/>
      <c r="CF518" s="255"/>
      <c r="CG518" s="296"/>
      <c r="CH518" s="209"/>
      <c r="CI518" s="208"/>
      <c r="CJ518" s="208"/>
      <c r="CK518" s="208"/>
    </row>
    <row r="519" spans="1:89" ht="12" customHeight="1" x14ac:dyDescent="0.2">
      <c r="A519" s="9" t="s">
        <v>513</v>
      </c>
      <c r="C519" s="297">
        <f>(C517)*(IF(B418=0,B145,(D499-G500))-B5)</f>
        <v>10.316636482673282</v>
      </c>
      <c r="D519" s="9" t="s">
        <v>268</v>
      </c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4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CD519" s="38"/>
      <c r="CF519" s="255"/>
      <c r="CG519" s="296"/>
      <c r="CH519" s="209"/>
      <c r="CI519" s="208"/>
      <c r="CJ519" s="208"/>
      <c r="CK519" s="208"/>
    </row>
    <row r="520" spans="1:89" ht="12" customHeight="1" x14ac:dyDescent="0.25">
      <c r="A520" s="36"/>
      <c r="B520"/>
      <c r="C520" s="298"/>
      <c r="D520" s="287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4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CD520" s="38"/>
      <c r="CF520" s="255"/>
      <c r="CG520" s="296"/>
      <c r="CH520" s="209"/>
      <c r="CI520" s="208"/>
      <c r="CJ520" s="208"/>
      <c r="CK520" s="208"/>
    </row>
    <row r="521" spans="1:89" ht="12" customHeight="1" x14ac:dyDescent="0.25">
      <c r="A521" s="36" t="s">
        <v>514</v>
      </c>
      <c r="B521"/>
      <c r="C521" s="298"/>
      <c r="D521" s="287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4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CD521" s="38"/>
      <c r="CF521"/>
      <c r="CG521"/>
      <c r="CH521"/>
      <c r="CI521"/>
      <c r="CJ521"/>
      <c r="CK521"/>
    </row>
    <row r="522" spans="1:89" ht="12" customHeight="1" x14ac:dyDescent="0.25">
      <c r="A522" s="187" t="s">
        <v>515</v>
      </c>
      <c r="C522" s="102">
        <f>IF(B418=0,0,SUM(BA453:BA463)/1000*B418*B419)</f>
        <v>3.1254019575946267E-3</v>
      </c>
      <c r="D522" s="299" t="s">
        <v>268</v>
      </c>
      <c r="E522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4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CD522" s="38"/>
      <c r="CF522"/>
      <c r="CG522"/>
      <c r="CH522"/>
      <c r="CI522"/>
      <c r="CJ522"/>
      <c r="CK522"/>
    </row>
    <row r="523" spans="1:89" ht="12" customHeight="1" x14ac:dyDescent="0.25">
      <c r="A523" s="36" t="s">
        <v>516</v>
      </c>
      <c r="C523" s="26">
        <f>IF(B418=0,0,(SUM(DV472:DV498)+SUM(DG472:DG498))/1000*B418*B419)</f>
        <v>0.57370161643571249</v>
      </c>
      <c r="D523" s="287" t="s">
        <v>269</v>
      </c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CD523" s="38"/>
      <c r="CF523"/>
      <c r="CG523"/>
      <c r="CH523"/>
      <c r="CI523"/>
      <c r="CJ523"/>
      <c r="CK523"/>
    </row>
    <row r="524" spans="1:89" ht="12" customHeight="1" x14ac:dyDescent="0.25">
      <c r="A524"/>
      <c r="B524"/>
      <c r="C524"/>
      <c r="D524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CD524" s="38"/>
      <c r="CF524"/>
      <c r="CG524"/>
      <c r="CH524"/>
      <c r="CI524"/>
      <c r="CJ524"/>
      <c r="CK524"/>
    </row>
    <row r="525" spans="1:89" ht="12" customHeight="1" x14ac:dyDescent="0.25">
      <c r="A525" s="36"/>
      <c r="C525"/>
      <c r="D525" s="287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CD525" s="38"/>
      <c r="CF525"/>
      <c r="CG525"/>
      <c r="CH525"/>
      <c r="CI525"/>
      <c r="CJ525"/>
      <c r="CK525"/>
    </row>
    <row r="526" spans="1:89" ht="12" customHeight="1" x14ac:dyDescent="0.25">
      <c r="A526" s="36"/>
      <c r="B526" s="1"/>
      <c r="C526" s="13"/>
      <c r="D526" s="287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CD526" s="38"/>
      <c r="CF526"/>
      <c r="CG526"/>
      <c r="CH526"/>
      <c r="CI526"/>
      <c r="CJ526"/>
      <c r="CK526"/>
    </row>
    <row r="527" spans="1:89" ht="12" customHeight="1" x14ac:dyDescent="0.25">
      <c r="A527"/>
      <c r="B527"/>
      <c r="C527"/>
      <c r="D527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CD527" s="38"/>
      <c r="CF527"/>
      <c r="CG527"/>
      <c r="CH527"/>
      <c r="CI527"/>
      <c r="CJ527"/>
      <c r="CK527"/>
    </row>
    <row r="528" spans="1:89" ht="12" customHeight="1" x14ac:dyDescent="0.25">
      <c r="A528" s="300"/>
      <c r="B528" s="300"/>
      <c r="C528" s="300"/>
      <c r="D528" s="300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F528" s="42"/>
      <c r="AG528" s="42"/>
      <c r="AH528" s="42"/>
      <c r="AI528" s="42"/>
      <c r="AJ528" s="42"/>
      <c r="AK528" s="42"/>
      <c r="AL528" s="42"/>
      <c r="AM528" s="42"/>
      <c r="AN528" s="42"/>
      <c r="AO528" s="42"/>
      <c r="AP528" s="42"/>
      <c r="AQ528" s="42"/>
      <c r="AR528" s="42"/>
      <c r="AS528" s="42"/>
      <c r="AT528" s="42"/>
      <c r="AU528" s="42"/>
      <c r="AV528" s="42"/>
      <c r="AW528" s="42"/>
      <c r="AX528" s="42"/>
      <c r="AY528" s="42"/>
      <c r="AZ528" s="42"/>
      <c r="BA528" s="42"/>
      <c r="BB528" s="42"/>
      <c r="BC528" s="42"/>
      <c r="BD528" s="42"/>
      <c r="BE528" s="42"/>
      <c r="BF528" s="42"/>
      <c r="BG528" s="42"/>
      <c r="BH528" s="42"/>
      <c r="BI528" s="42"/>
      <c r="BJ528" s="42"/>
      <c r="BK528" s="42"/>
      <c r="BL528" s="42"/>
      <c r="BM528" s="42"/>
      <c r="BN528" s="42"/>
      <c r="BO528" s="42"/>
      <c r="BP528" s="42"/>
      <c r="BQ528" s="42"/>
      <c r="BR528" s="42"/>
      <c r="BS528" s="42"/>
      <c r="BT528" s="42"/>
      <c r="BU528" s="42"/>
      <c r="BV528" s="42"/>
      <c r="BW528" s="42"/>
      <c r="BX528" s="42"/>
      <c r="BY528" s="42"/>
      <c r="BZ528" s="42"/>
      <c r="CA528" s="42"/>
      <c r="CB528" s="42"/>
      <c r="CC528" s="42"/>
      <c r="CD528" s="43"/>
      <c r="CF528"/>
      <c r="CG528"/>
      <c r="CH528"/>
      <c r="CI528"/>
      <c r="CJ528"/>
      <c r="CK528"/>
    </row>
    <row r="529" spans="1:89" ht="12" customHeight="1" x14ac:dyDescent="0.25">
      <c r="CF529"/>
      <c r="CG529"/>
      <c r="CH529"/>
      <c r="CI529"/>
      <c r="CJ529"/>
      <c r="CK529"/>
    </row>
    <row r="530" spans="1:89" ht="12" customHeight="1" x14ac:dyDescent="0.25">
      <c r="A530" s="301" t="s">
        <v>517</v>
      </c>
      <c r="B530"/>
      <c r="D530"/>
      <c r="CF530"/>
      <c r="CG530"/>
      <c r="CH530"/>
      <c r="CI530"/>
      <c r="CJ530"/>
      <c r="CK530"/>
    </row>
    <row r="531" spans="1:89" ht="12.75" customHeight="1" x14ac:dyDescent="0.25">
      <c r="A531" s="301" t="s">
        <v>518</v>
      </c>
      <c r="B531"/>
      <c r="D531"/>
      <c r="CF531"/>
      <c r="CG531"/>
      <c r="CH531"/>
      <c r="CI531"/>
      <c r="CJ531"/>
      <c r="CK531"/>
    </row>
    <row r="532" spans="1:89" ht="12.75" customHeight="1" x14ac:dyDescent="0.25">
      <c r="A532" s="301" t="s">
        <v>519</v>
      </c>
      <c r="B532" s="24">
        <f>B14*B13</f>
        <v>18.891208566155907</v>
      </c>
      <c r="C532" s="9" t="s">
        <v>296</v>
      </c>
      <c r="D532"/>
      <c r="CF532"/>
      <c r="CG532"/>
      <c r="CH532"/>
      <c r="CI532"/>
      <c r="CJ532"/>
      <c r="CK532"/>
    </row>
    <row r="533" spans="1:89" ht="12.75" customHeight="1" x14ac:dyDescent="0.25">
      <c r="A533" s="301" t="s">
        <v>520</v>
      </c>
      <c r="B533" s="24">
        <f>B532-(B14-B15)*B13</f>
        <v>5.3060314175676346</v>
      </c>
      <c r="C533" s="9" t="s">
        <v>296</v>
      </c>
      <c r="D533"/>
      <c r="CF533"/>
      <c r="CG533"/>
      <c r="CH533"/>
      <c r="CI533"/>
      <c r="CJ533"/>
      <c r="CK533"/>
    </row>
    <row r="534" spans="1:89" ht="12.75" customHeight="1" x14ac:dyDescent="0.25">
      <c r="A534" s="301" t="s">
        <v>521</v>
      </c>
      <c r="B534" s="24">
        <f>B45</f>
        <v>12.971245951944324</v>
      </c>
      <c r="C534" s="9" t="s">
        <v>296</v>
      </c>
      <c r="D534"/>
      <c r="CF534"/>
      <c r="CG534"/>
      <c r="CH534"/>
      <c r="CI534"/>
      <c r="CJ534"/>
      <c r="CK534"/>
    </row>
    <row r="535" spans="1:89" ht="12.75" customHeight="1" x14ac:dyDescent="0.25">
      <c r="A535" s="301" t="s">
        <v>522</v>
      </c>
      <c r="B535" s="24">
        <f>(C508-'Data Input'!B8)*'Data Input'!B15*B43</f>
        <v>1.9670980768424133</v>
      </c>
      <c r="C535" s="9" t="s">
        <v>296</v>
      </c>
      <c r="D535"/>
      <c r="E535" s="27"/>
      <c r="CF535"/>
      <c r="CG535"/>
      <c r="CH535"/>
      <c r="CI535"/>
      <c r="CJ535"/>
      <c r="CK535"/>
    </row>
    <row r="536" spans="1:89" ht="12.75" customHeight="1" x14ac:dyDescent="0.25">
      <c r="A536" s="301"/>
      <c r="D536"/>
      <c r="E536" s="27"/>
      <c r="CF536"/>
      <c r="CG536"/>
      <c r="CH536"/>
      <c r="CI536"/>
      <c r="CJ536"/>
      <c r="CK536"/>
    </row>
    <row r="537" spans="1:89" ht="12.75" customHeight="1" x14ac:dyDescent="0.25">
      <c r="A537" s="301" t="s">
        <v>523</v>
      </c>
      <c r="B537" s="24"/>
      <c r="D537"/>
      <c r="CF537"/>
      <c r="CG537"/>
      <c r="CH537"/>
      <c r="CI537"/>
      <c r="CJ537"/>
      <c r="CK537"/>
    </row>
    <row r="538" spans="1:89" ht="12.75" customHeight="1" x14ac:dyDescent="0.25">
      <c r="A538" s="301" t="s">
        <v>210</v>
      </c>
      <c r="B538" s="27">
        <f>C121</f>
        <v>4.9725718173258766</v>
      </c>
      <c r="C538" s="9" t="s">
        <v>296</v>
      </c>
      <c r="D538"/>
      <c r="CF538"/>
      <c r="CG538"/>
      <c r="CH538"/>
      <c r="CI538"/>
      <c r="CJ538"/>
      <c r="CK538"/>
    </row>
    <row r="539" spans="1:89" ht="12.75" customHeight="1" x14ac:dyDescent="0.25">
      <c r="A539" s="301" t="s">
        <v>524</v>
      </c>
      <c r="B539" s="24">
        <f>(G377-G403)*'Data Input'!B15*D371*'Data Input'!B40</f>
        <v>4.2647652814813144</v>
      </c>
      <c r="C539" s="9" t="s">
        <v>296</v>
      </c>
      <c r="D539"/>
      <c r="CF539"/>
      <c r="CG539"/>
      <c r="CH539"/>
      <c r="CI539"/>
      <c r="CJ539"/>
      <c r="CK539"/>
    </row>
    <row r="540" spans="1:89" ht="12.75" customHeight="1" x14ac:dyDescent="0.25">
      <c r="A540" s="301" t="s">
        <v>525</v>
      </c>
      <c r="B540" s="24">
        <f>C513</f>
        <v>1.2281694416053712</v>
      </c>
      <c r="C540" s="9" t="s">
        <v>296</v>
      </c>
      <c r="D540"/>
      <c r="CF540"/>
      <c r="CG540"/>
      <c r="CH540"/>
      <c r="CI540"/>
      <c r="CJ540"/>
      <c r="CK540"/>
    </row>
    <row r="541" spans="1:89" ht="12.75" customHeight="1" x14ac:dyDescent="0.25">
      <c r="A541" s="301" t="s">
        <v>526</v>
      </c>
      <c r="B541" s="24">
        <f>(D499-G499)*B440</f>
        <v>0.60631468188236171</v>
      </c>
      <c r="C541" s="9" t="s">
        <v>296</v>
      </c>
      <c r="D541"/>
      <c r="CF541"/>
      <c r="CG541"/>
      <c r="CH541"/>
      <c r="CI541"/>
      <c r="CJ541"/>
      <c r="CK541"/>
    </row>
    <row r="542" spans="1:89" ht="12.75" customHeight="1" x14ac:dyDescent="0.25">
      <c r="A542" s="301" t="s">
        <v>527</v>
      </c>
      <c r="B542" s="24">
        <f>-C132/1000</f>
        <v>-0.76002082605977894</v>
      </c>
      <c r="C542" s="9" t="s">
        <v>296</v>
      </c>
      <c r="D542"/>
      <c r="CF542"/>
      <c r="CG542"/>
      <c r="CH542"/>
      <c r="CI542"/>
      <c r="CJ542"/>
      <c r="CK542"/>
    </row>
    <row r="543" spans="1:89" ht="12.75" customHeight="1" x14ac:dyDescent="0.25">
      <c r="A543" s="301"/>
      <c r="D543"/>
      <c r="CF543"/>
      <c r="CG543"/>
      <c r="CH543"/>
      <c r="CI543"/>
      <c r="CJ543"/>
      <c r="CK543"/>
    </row>
    <row r="544" spans="1:89" ht="12.75" customHeight="1" x14ac:dyDescent="0.25">
      <c r="A544" s="301" t="s">
        <v>528</v>
      </c>
      <c r="B544" s="9">
        <f>D117</f>
        <v>0</v>
      </c>
      <c r="D544"/>
      <c r="CF544"/>
      <c r="CG544"/>
      <c r="CH544"/>
      <c r="CI544"/>
      <c r="CJ544"/>
      <c r="CK544"/>
    </row>
    <row r="545" spans="1:89" ht="12.75" customHeight="1" x14ac:dyDescent="0.25">
      <c r="A545" s="301" t="str">
        <f>A118</f>
        <v>FIREBED TO WATER RADIATION</v>
      </c>
      <c r="B545" s="24">
        <f t="shared" ref="B545:C548" si="507">C118</f>
        <v>2.3616065709117344</v>
      </c>
      <c r="C545" s="9" t="str">
        <f t="shared" si="507"/>
        <v>Kilowatts</v>
      </c>
      <c r="D545"/>
      <c r="CF545"/>
      <c r="CG545"/>
      <c r="CH545"/>
      <c r="CI545"/>
      <c r="CJ545"/>
      <c r="CK545"/>
    </row>
    <row r="546" spans="1:89" ht="12.75" customHeight="1" x14ac:dyDescent="0.25">
      <c r="A546" s="301" t="str">
        <f>A119</f>
        <v>FLAME TO WATER RADIATION</v>
      </c>
      <c r="B546" s="24">
        <f t="shared" si="507"/>
        <v>1.3254503063594727</v>
      </c>
      <c r="C546" s="9" t="str">
        <f t="shared" si="507"/>
        <v>Kilowatts</v>
      </c>
      <c r="D546"/>
      <c r="CF546"/>
      <c r="CG546"/>
      <c r="CH546"/>
      <c r="CI546"/>
      <c r="CJ546"/>
      <c r="CK546"/>
    </row>
    <row r="547" spans="1:89" ht="12.75" customHeight="1" x14ac:dyDescent="0.25">
      <c r="A547" s="301" t="str">
        <f>A120</f>
        <v>GAS TO WATER CONVECTION</v>
      </c>
      <c r="B547" s="24">
        <f t="shared" si="507"/>
        <v>1.2855149400546702</v>
      </c>
      <c r="C547" s="9" t="str">
        <f t="shared" si="507"/>
        <v>Kilowatts</v>
      </c>
      <c r="D547"/>
      <c r="CF547"/>
      <c r="CG547"/>
      <c r="CH547"/>
      <c r="CI547"/>
      <c r="CJ547"/>
      <c r="CK547"/>
    </row>
    <row r="548" spans="1:89" ht="12.75" customHeight="1" x14ac:dyDescent="0.25">
      <c r="A548" s="301" t="str">
        <f>A121</f>
        <v>TOTAL HEAT TRANSFERRED</v>
      </c>
      <c r="B548" s="24">
        <f t="shared" si="507"/>
        <v>4.9725718173258766</v>
      </c>
      <c r="C548" s="9" t="str">
        <f t="shared" si="507"/>
        <v>Kilowatts</v>
      </c>
      <c r="D548"/>
      <c r="CF548"/>
      <c r="CG548"/>
      <c r="CH548"/>
      <c r="CI548"/>
      <c r="CJ548"/>
      <c r="CK548"/>
    </row>
    <row r="549" spans="1:89" ht="12.75" customHeight="1" x14ac:dyDescent="0.25">
      <c r="A549" s="301"/>
      <c r="D549"/>
      <c r="CF549"/>
      <c r="CG549"/>
      <c r="CH549"/>
      <c r="CI549"/>
      <c r="CJ549"/>
      <c r="CK549"/>
    </row>
    <row r="550" spans="1:89" ht="12.75" customHeight="1" x14ac:dyDescent="0.25">
      <c r="A550" s="302" t="s">
        <v>529</v>
      </c>
      <c r="D550"/>
      <c r="CF550"/>
      <c r="CG550"/>
      <c r="CH550"/>
      <c r="CI550"/>
      <c r="CJ550"/>
      <c r="CK550"/>
    </row>
    <row r="551" spans="1:89" ht="12.75" customHeight="1" x14ac:dyDescent="0.25">
      <c r="A551" s="301" t="s">
        <v>177</v>
      </c>
      <c r="B551" s="24">
        <f>SUM(Z185:Z211)*B160/1000</f>
        <v>4.2825404417786546</v>
      </c>
      <c r="C551" s="9" t="s">
        <v>296</v>
      </c>
      <c r="D551"/>
      <c r="CF551"/>
      <c r="CG551"/>
      <c r="CH551"/>
      <c r="CI551"/>
      <c r="CJ551"/>
      <c r="CK551"/>
    </row>
    <row r="552" spans="1:89" ht="12.75" customHeight="1" x14ac:dyDescent="0.25">
      <c r="A552" s="301" t="s">
        <v>530</v>
      </c>
      <c r="B552" s="24">
        <f>SUM(AA185:AA211)*B160/1000</f>
        <v>3.7253272945027956E-2</v>
      </c>
      <c r="C552" s="9" t="s">
        <v>296</v>
      </c>
      <c r="D552"/>
      <c r="CF552"/>
      <c r="CG552"/>
      <c r="CH552"/>
      <c r="CI552"/>
      <c r="CJ552"/>
      <c r="CK552"/>
    </row>
    <row r="553" spans="1:89" ht="12.75" customHeight="1" x14ac:dyDescent="0.25">
      <c r="A553" s="301" t="s">
        <v>299</v>
      </c>
      <c r="B553" s="24">
        <f>B216</f>
        <v>4.3197937147236818</v>
      </c>
      <c r="C553" s="9" t="s">
        <v>296</v>
      </c>
      <c r="D553"/>
      <c r="E553" s="166"/>
      <c r="CF553"/>
      <c r="CG553"/>
      <c r="CH553"/>
      <c r="CI553"/>
      <c r="CJ553"/>
      <c r="CK553"/>
    </row>
    <row r="554" spans="1:89" ht="12.75" customHeight="1" x14ac:dyDescent="0.25">
      <c r="A554" s="301"/>
      <c r="B554" s="24"/>
      <c r="C554" s="290"/>
      <c r="D554"/>
      <c r="E554" s="166"/>
      <c r="CF554"/>
      <c r="CG554"/>
      <c r="CH554"/>
      <c r="CI554"/>
      <c r="CJ554"/>
      <c r="CK554"/>
    </row>
    <row r="555" spans="1:89" ht="12.75" customHeight="1" x14ac:dyDescent="0.25">
      <c r="A555" s="301" t="s">
        <v>531</v>
      </c>
      <c r="B555" s="24"/>
      <c r="C555" s="290"/>
      <c r="D555"/>
      <c r="E555" s="166"/>
      <c r="CF555"/>
      <c r="CG555"/>
      <c r="CH555"/>
      <c r="CI555"/>
      <c r="CJ555"/>
      <c r="CK555"/>
    </row>
    <row r="556" spans="1:89" ht="12.75" customHeight="1" x14ac:dyDescent="0.25">
      <c r="A556" s="301" t="str">
        <f>A522</f>
        <v>RADIANT SUPERHEAT FROM F/BOX</v>
      </c>
      <c r="B556" s="24">
        <f>C522</f>
        <v>3.1254019575946267E-3</v>
      </c>
      <c r="C556" s="9" t="s">
        <v>296</v>
      </c>
      <c r="D556"/>
      <c r="CF556" s="24"/>
      <c r="CG556" s="165"/>
      <c r="CH556" s="165"/>
      <c r="CI556" s="156"/>
      <c r="CJ556" s="156"/>
      <c r="CK556" s="156"/>
    </row>
    <row r="557" spans="1:89" ht="12.75" customHeight="1" x14ac:dyDescent="0.25">
      <c r="A557" s="301" t="str">
        <f>A523</f>
        <v>SUPERHEAT IN FLUES</v>
      </c>
      <c r="B557" s="24">
        <f>C523</f>
        <v>0.57370161643571249</v>
      </c>
      <c r="C557" s="9" t="s">
        <v>296</v>
      </c>
      <c r="D557"/>
      <c r="CF557" s="24"/>
      <c r="CG557" s="165"/>
      <c r="CH557" s="165"/>
      <c r="CI557" s="156"/>
      <c r="CJ557" s="156"/>
      <c r="CK557" s="156"/>
    </row>
    <row r="558" spans="1:89" ht="12.75" customHeight="1" x14ac:dyDescent="0.25">
      <c r="A558" s="301">
        <f>A525</f>
        <v>0</v>
      </c>
      <c r="B558" s="24">
        <f>C513</f>
        <v>1.2281694416053712</v>
      </c>
      <c r="C558" s="9" t="s">
        <v>296</v>
      </c>
      <c r="D558"/>
    </row>
    <row r="559" spans="1:89" ht="12.75" customHeight="1" x14ac:dyDescent="0.25">
      <c r="A559" s="301"/>
      <c r="D559"/>
    </row>
    <row r="560" spans="1:89" ht="12.75" customHeight="1" x14ac:dyDescent="0.25">
      <c r="A560" s="301" t="s">
        <v>532</v>
      </c>
      <c r="B560" s="31">
        <f>C517</f>
        <v>3.6145637806799307E-3</v>
      </c>
      <c r="C560" s="9" t="s">
        <v>327</v>
      </c>
      <c r="D560"/>
    </row>
    <row r="561" spans="1:9" ht="12.75" customHeight="1" x14ac:dyDescent="0.25">
      <c r="A561" s="301" t="s">
        <v>533</v>
      </c>
      <c r="B561" s="156">
        <f>IF(B418=0,(B147-B144),B499-B144)</f>
        <v>77.336060517093642</v>
      </c>
      <c r="C561" s="9" t="s">
        <v>13</v>
      </c>
      <c r="D561"/>
    </row>
    <row r="562" spans="1:9" ht="12.75" customHeight="1" x14ac:dyDescent="0.25">
      <c r="A562" s="301" t="s">
        <v>534</v>
      </c>
      <c r="B562" s="24">
        <f>1.7287*EXP(-0.0197*B561)+1</f>
        <v>1.3767585637135111</v>
      </c>
      <c r="C562" s="9" t="s">
        <v>535</v>
      </c>
      <c r="D562"/>
    </row>
    <row r="563" spans="1:9" ht="12.75" customHeight="1" x14ac:dyDescent="0.25">
      <c r="A563" s="301" t="s">
        <v>536</v>
      </c>
      <c r="B563" s="31">
        <f>IF(B418=0,B560/B562/B148,B560/B562/AD498)</f>
        <v>1.1978091836862661E-3</v>
      </c>
      <c r="C563" s="9" t="s">
        <v>537</v>
      </c>
      <c r="D563"/>
    </row>
    <row r="565" spans="1:9" ht="12" customHeight="1" x14ac:dyDescent="0.2">
      <c r="A565" s="1" t="s">
        <v>492</v>
      </c>
      <c r="B565" s="116"/>
      <c r="C565" s="14"/>
      <c r="D565" s="116"/>
      <c r="E565" s="231"/>
      <c r="F565" s="176"/>
      <c r="G565" s="109"/>
    </row>
    <row r="566" spans="1:9" ht="12" customHeight="1" x14ac:dyDescent="0.2">
      <c r="A566" s="14" t="s">
        <v>493</v>
      </c>
      <c r="B566" s="14" t="s">
        <v>494</v>
      </c>
      <c r="C566" s="116" t="s">
        <v>538</v>
      </c>
      <c r="D566" s="116" t="s">
        <v>496</v>
      </c>
      <c r="E566" s="9" t="s">
        <v>497</v>
      </c>
      <c r="F566" s="176" t="s">
        <v>498</v>
      </c>
      <c r="G566" s="109" t="s">
        <v>499</v>
      </c>
      <c r="H566" s="231" t="s">
        <v>539</v>
      </c>
      <c r="I566" s="9" t="s">
        <v>540</v>
      </c>
    </row>
    <row r="567" spans="1:9" ht="12" customHeight="1" x14ac:dyDescent="0.2">
      <c r="A567" s="123">
        <f t="shared" ref="A567:A592" si="508">D377</f>
        <v>0</v>
      </c>
      <c r="B567" s="108">
        <f t="shared" ref="B567:B592" si="509">B377</f>
        <v>161.00127538118977</v>
      </c>
      <c r="C567" s="123">
        <f t="shared" ref="C567:C592" si="510">G378</f>
        <v>1034.2609350901587</v>
      </c>
      <c r="D567" s="108">
        <f t="shared" ref="D567:D592" si="511">AC377</f>
        <v>0</v>
      </c>
      <c r="E567" s="292">
        <f>(1-(C$567-C567)/(C$567-B$567))*100</f>
        <v>100</v>
      </c>
      <c r="F567" s="119">
        <f t="shared" ref="F567:F592" si="512">(A$567-A567)*39.37/(B$165/25.4)^2</f>
        <v>0</v>
      </c>
      <c r="G567" s="119">
        <f t="shared" ref="G567:G592" si="513">(A$567-A567)/(B$165/1000)</f>
        <v>0</v>
      </c>
      <c r="H567" s="209">
        <f>(980-32)*5/9</f>
        <v>526.66666666666663</v>
      </c>
      <c r="I567" s="165">
        <f>(1800-32)*5/9</f>
        <v>982.22222222222217</v>
      </c>
    </row>
    <row r="568" spans="1:9" ht="12" customHeight="1" x14ac:dyDescent="0.2">
      <c r="A568" s="123">
        <f t="shared" si="508"/>
        <v>1.2129032258064519E-2</v>
      </c>
      <c r="B568" s="108">
        <f t="shared" si="509"/>
        <v>161.00127538118977</v>
      </c>
      <c r="C568" s="123">
        <f t="shared" si="510"/>
        <v>800.97252465481756</v>
      </c>
      <c r="D568" s="108">
        <f t="shared" si="511"/>
        <v>50.84380671908584</v>
      </c>
      <c r="E568" s="292">
        <f t="shared" ref="E568:E592" si="514">(1-(C$567-C567)/(C$567-B$567))*100</f>
        <v>100</v>
      </c>
      <c r="F568" s="119">
        <f t="shared" si="512"/>
        <v>-3.2809585527357883</v>
      </c>
      <c r="G568" s="119">
        <f t="shared" si="513"/>
        <v>-1.251690694626475</v>
      </c>
      <c r="H568" s="209"/>
      <c r="I568" s="165">
        <f>(1640-32)*5/9</f>
        <v>893.33333333333337</v>
      </c>
    </row>
    <row r="569" spans="1:9" ht="12" customHeight="1" x14ac:dyDescent="0.2">
      <c r="A569" s="123">
        <f t="shared" si="508"/>
        <v>2.4258064516129038E-2</v>
      </c>
      <c r="B569" s="108">
        <f t="shared" si="509"/>
        <v>161.00127538118977</v>
      </c>
      <c r="C569" s="123">
        <f t="shared" si="510"/>
        <v>705.05481037176355</v>
      </c>
      <c r="D569" s="108">
        <f t="shared" si="511"/>
        <v>71.748495969800985</v>
      </c>
      <c r="E569" s="292">
        <f t="shared" si="514"/>
        <v>73.285332965788314</v>
      </c>
      <c r="F569" s="119">
        <f t="shared" si="512"/>
        <v>-6.5619171054715766</v>
      </c>
      <c r="G569" s="119">
        <f t="shared" si="513"/>
        <v>-2.50338138925295</v>
      </c>
      <c r="H569" s="209"/>
      <c r="I569" s="165">
        <f>(1500-32)*5/9</f>
        <v>815.55555555555554</v>
      </c>
    </row>
    <row r="570" spans="1:9" ht="12" customHeight="1" x14ac:dyDescent="0.2">
      <c r="A570" s="123">
        <f t="shared" si="508"/>
        <v>3.6387096774193557E-2</v>
      </c>
      <c r="B570" s="108">
        <f t="shared" si="509"/>
        <v>161.00127538118977</v>
      </c>
      <c r="C570" s="123">
        <f t="shared" si="510"/>
        <v>639.57002219004096</v>
      </c>
      <c r="D570" s="108">
        <f t="shared" si="511"/>
        <v>86.02051191409322</v>
      </c>
      <c r="E570" s="292">
        <f t="shared" si="514"/>
        <v>62.301461992632333</v>
      </c>
      <c r="F570" s="119">
        <f t="shared" si="512"/>
        <v>-9.8428756582073653</v>
      </c>
      <c r="G570" s="119">
        <f t="shared" si="513"/>
        <v>-3.7550720838794245</v>
      </c>
      <c r="H570" s="209"/>
      <c r="I570" s="165">
        <f>(1380-32)*5/9</f>
        <v>748.88888888888891</v>
      </c>
    </row>
    <row r="571" spans="1:9" ht="12" customHeight="1" x14ac:dyDescent="0.2">
      <c r="A571" s="123">
        <f t="shared" si="508"/>
        <v>4.8516129032258076E-2</v>
      </c>
      <c r="B571" s="108">
        <f t="shared" si="509"/>
        <v>161.00127538118977</v>
      </c>
      <c r="C571" s="123">
        <f t="shared" si="510"/>
        <v>589.91463482235565</v>
      </c>
      <c r="D571" s="108">
        <f t="shared" si="511"/>
        <v>96.842605104117652</v>
      </c>
      <c r="E571" s="292">
        <f t="shared" si="514"/>
        <v>54.802571204118564</v>
      </c>
      <c r="F571" s="119">
        <f t="shared" si="512"/>
        <v>-13.123834210943153</v>
      </c>
      <c r="G571" s="119">
        <f t="shared" si="513"/>
        <v>-5.0067627785058999</v>
      </c>
      <c r="H571" s="209"/>
      <c r="I571" s="165">
        <f>(1290-32)*5/9</f>
        <v>698.88888888888891</v>
      </c>
    </row>
    <row r="572" spans="1:9" ht="12" customHeight="1" x14ac:dyDescent="0.2">
      <c r="A572" s="123">
        <f t="shared" si="508"/>
        <v>6.0645161290322595E-2</v>
      </c>
      <c r="B572" s="108">
        <f t="shared" si="509"/>
        <v>161.00127538118977</v>
      </c>
      <c r="C572" s="123">
        <f t="shared" si="510"/>
        <v>550.17549789447753</v>
      </c>
      <c r="D572" s="108">
        <f t="shared" si="511"/>
        <v>105.50351111901087</v>
      </c>
      <c r="E572" s="292">
        <f t="shared" si="514"/>
        <v>49.116360142424277</v>
      </c>
      <c r="F572" s="119">
        <f t="shared" si="512"/>
        <v>-16.404792763678941</v>
      </c>
      <c r="G572" s="119">
        <f t="shared" si="513"/>
        <v>-6.2584534731323744</v>
      </c>
      <c r="H572" s="209"/>
      <c r="I572" s="165">
        <f>(1200-32)*5/9</f>
        <v>648.88888888888891</v>
      </c>
    </row>
    <row r="573" spans="1:9" ht="12" customHeight="1" x14ac:dyDescent="0.2">
      <c r="A573" s="123">
        <f t="shared" si="508"/>
        <v>7.2774193548387114E-2</v>
      </c>
      <c r="B573" s="108">
        <f t="shared" si="509"/>
        <v>161.00127538118977</v>
      </c>
      <c r="C573" s="123">
        <f t="shared" si="510"/>
        <v>517.27775357842904</v>
      </c>
      <c r="D573" s="108">
        <f t="shared" si="511"/>
        <v>112.67337673890059</v>
      </c>
      <c r="E573" s="292">
        <f t="shared" si="514"/>
        <v>44.565693397882114</v>
      </c>
      <c r="F573" s="119">
        <f t="shared" si="512"/>
        <v>-19.685751316414731</v>
      </c>
      <c r="G573" s="119">
        <f t="shared" si="513"/>
        <v>-7.510144167758849</v>
      </c>
      <c r="H573" s="209"/>
      <c r="I573" s="165">
        <f>(1130-32)*5/9</f>
        <v>610</v>
      </c>
    </row>
    <row r="574" spans="1:9" ht="12" customHeight="1" x14ac:dyDescent="0.2">
      <c r="A574" s="123">
        <f t="shared" si="508"/>
        <v>8.4903225806451627E-2</v>
      </c>
      <c r="B574" s="108">
        <f t="shared" si="509"/>
        <v>161.00127538118977</v>
      </c>
      <c r="C574" s="123">
        <f t="shared" si="510"/>
        <v>489.3948810870429</v>
      </c>
      <c r="D574" s="108">
        <f t="shared" si="511"/>
        <v>118.75028118983077</v>
      </c>
      <c r="E574" s="292">
        <f t="shared" si="514"/>
        <v>40.798458309178677</v>
      </c>
      <c r="F574" s="119">
        <f t="shared" si="512"/>
        <v>-22.966709869150513</v>
      </c>
      <c r="G574" s="119">
        <f t="shared" si="513"/>
        <v>-8.7618348623853226</v>
      </c>
      <c r="H574" s="209">
        <f>(570-32)*5/9</f>
        <v>298.88888888888891</v>
      </c>
      <c r="I574" s="165">
        <f>(1060-32)*5/9</f>
        <v>571.11111111111109</v>
      </c>
    </row>
    <row r="575" spans="1:9" ht="12" customHeight="1" x14ac:dyDescent="0.2">
      <c r="A575" s="123">
        <f t="shared" si="508"/>
        <v>9.7032258064516153E-2</v>
      </c>
      <c r="B575" s="108">
        <f t="shared" si="509"/>
        <v>161.00127538118977</v>
      </c>
      <c r="C575" s="123">
        <f t="shared" si="510"/>
        <v>465.34596035380866</v>
      </c>
      <c r="D575" s="108">
        <f t="shared" si="511"/>
        <v>123.99159890159116</v>
      </c>
      <c r="E575" s="292">
        <f t="shared" si="514"/>
        <v>37.605493630072964</v>
      </c>
      <c r="F575" s="119">
        <f t="shared" si="512"/>
        <v>-26.247668421886306</v>
      </c>
      <c r="G575" s="119">
        <f t="shared" si="513"/>
        <v>-10.0135255570118</v>
      </c>
      <c r="H575" s="209"/>
      <c r="I575" s="165">
        <f>(1000-32)*5/9</f>
        <v>537.77777777777783</v>
      </c>
    </row>
    <row r="576" spans="1:9" ht="12" customHeight="1" x14ac:dyDescent="0.2">
      <c r="A576" s="123">
        <f t="shared" si="508"/>
        <v>0.10916129032258068</v>
      </c>
      <c r="B576" s="108">
        <f t="shared" si="509"/>
        <v>161.00127538118977</v>
      </c>
      <c r="C576" s="123">
        <f t="shared" si="510"/>
        <v>444.32080991267253</v>
      </c>
      <c r="D576" s="108">
        <f t="shared" si="511"/>
        <v>128.57390405457309</v>
      </c>
      <c r="E576" s="292">
        <f t="shared" si="514"/>
        <v>34.851568097631777</v>
      </c>
      <c r="F576" s="119">
        <f t="shared" si="512"/>
        <v>-29.528626974622092</v>
      </c>
      <c r="G576" s="119">
        <f t="shared" si="513"/>
        <v>-11.265216251638275</v>
      </c>
      <c r="H576" s="209"/>
      <c r="I576" s="165">
        <f>(950-32)*5/9</f>
        <v>510</v>
      </c>
    </row>
    <row r="577" spans="1:9" ht="12" customHeight="1" x14ac:dyDescent="0.2">
      <c r="A577" s="123">
        <f t="shared" si="508"/>
        <v>0.1212903225806452</v>
      </c>
      <c r="B577" s="108">
        <f t="shared" si="509"/>
        <v>161.00127538118977</v>
      </c>
      <c r="C577" s="123">
        <f t="shared" si="510"/>
        <v>425.73851667822453</v>
      </c>
      <c r="D577" s="108">
        <f t="shared" si="511"/>
        <v>132.62380316377687</v>
      </c>
      <c r="E577" s="292">
        <f t="shared" si="514"/>
        <v>32.443905015136579</v>
      </c>
      <c r="F577" s="119">
        <f t="shared" si="512"/>
        <v>-32.809585527357889</v>
      </c>
      <c r="G577" s="119">
        <f t="shared" si="513"/>
        <v>-12.516906946264751</v>
      </c>
      <c r="H577" s="209"/>
      <c r="I577" s="165">
        <f>(900-32)*5/9</f>
        <v>482.22222222222223</v>
      </c>
    </row>
    <row r="578" spans="1:9" ht="12" customHeight="1" x14ac:dyDescent="0.2">
      <c r="A578" s="123">
        <f t="shared" si="508"/>
        <v>0.13341935483870973</v>
      </c>
      <c r="B578" s="108">
        <f t="shared" si="509"/>
        <v>161.00127538118977</v>
      </c>
      <c r="C578" s="123">
        <f t="shared" si="510"/>
        <v>409.16804417472406</v>
      </c>
      <c r="D578" s="108">
        <f t="shared" si="511"/>
        <v>136.23523803805844</v>
      </c>
      <c r="E578" s="292">
        <f t="shared" si="514"/>
        <v>30.315982005313714</v>
      </c>
      <c r="F578" s="119">
        <f t="shared" si="512"/>
        <v>-36.090544080093679</v>
      </c>
      <c r="G578" s="119">
        <f t="shared" si="513"/>
        <v>-13.768597640891226</v>
      </c>
      <c r="H578" s="209"/>
      <c r="I578" s="165">
        <f>(860-32)*5/9</f>
        <v>460</v>
      </c>
    </row>
    <row r="579" spans="1:9" ht="12" customHeight="1" x14ac:dyDescent="0.2">
      <c r="A579" s="123">
        <f t="shared" si="508"/>
        <v>0.14554838709677426</v>
      </c>
      <c r="B579" s="108">
        <f t="shared" si="509"/>
        <v>161.00127538118977</v>
      </c>
      <c r="C579" s="123">
        <f t="shared" si="510"/>
        <v>394.28067151269687</v>
      </c>
      <c r="D579" s="108">
        <f t="shared" si="511"/>
        <v>139.47985141928299</v>
      </c>
      <c r="E579" s="292">
        <f t="shared" si="514"/>
        <v>28.418439582591137</v>
      </c>
      <c r="F579" s="119">
        <f t="shared" si="512"/>
        <v>-39.371502632829461</v>
      </c>
      <c r="G579" s="119">
        <f t="shared" si="513"/>
        <v>-15.020288335517701</v>
      </c>
      <c r="H579" s="209"/>
      <c r="I579" s="165">
        <f>(810-32)*5/9</f>
        <v>432.22222222222223</v>
      </c>
    </row>
    <row r="580" spans="1:9" ht="12" customHeight="1" x14ac:dyDescent="0.2">
      <c r="A580" s="123">
        <f t="shared" si="508"/>
        <v>0.15767741935483878</v>
      </c>
      <c r="B580" s="108">
        <f t="shared" si="509"/>
        <v>161.00127538118977</v>
      </c>
      <c r="C580" s="123">
        <f t="shared" si="510"/>
        <v>380.82000212302148</v>
      </c>
      <c r="D580" s="108">
        <f t="shared" si="511"/>
        <v>142.41352339844829</v>
      </c>
      <c r="E580" s="292">
        <f t="shared" si="514"/>
        <v>26.713634774936491</v>
      </c>
      <c r="F580" s="119">
        <f t="shared" si="512"/>
        <v>-42.652461185565251</v>
      </c>
      <c r="G580" s="119">
        <f t="shared" si="513"/>
        <v>-16.271979030144177</v>
      </c>
      <c r="H580" s="209"/>
      <c r="I580" s="165">
        <f>(770-32)*5/9</f>
        <v>410</v>
      </c>
    </row>
    <row r="581" spans="1:9" ht="12" customHeight="1" x14ac:dyDescent="0.2">
      <c r="A581" s="123">
        <f t="shared" si="508"/>
        <v>0.16980645161290331</v>
      </c>
      <c r="B581" s="108">
        <f t="shared" si="509"/>
        <v>161.00127538118977</v>
      </c>
      <c r="C581" s="123">
        <f t="shared" si="510"/>
        <v>368.58225167775026</v>
      </c>
      <c r="D581" s="108">
        <f t="shared" si="511"/>
        <v>145.08066754484912</v>
      </c>
      <c r="E581" s="292">
        <f t="shared" si="514"/>
        <v>25.172206719716183</v>
      </c>
      <c r="F581" s="119">
        <f t="shared" si="512"/>
        <v>-45.933419738301048</v>
      </c>
      <c r="G581" s="119">
        <f t="shared" si="513"/>
        <v>-17.523669724770652</v>
      </c>
      <c r="H581" s="209"/>
      <c r="I581" s="165">
        <f>(730-32)*5/9</f>
        <v>387.77777777777777</v>
      </c>
    </row>
    <row r="582" spans="1:9" ht="12" customHeight="1" x14ac:dyDescent="0.2">
      <c r="A582" s="123">
        <f t="shared" si="508"/>
        <v>0.18193548387096783</v>
      </c>
      <c r="B582" s="108">
        <f t="shared" si="509"/>
        <v>161.00127538118977</v>
      </c>
      <c r="C582" s="123">
        <f t="shared" si="510"/>
        <v>357.40284079229804</v>
      </c>
      <c r="D582" s="108">
        <f t="shared" si="511"/>
        <v>147.5171529460419</v>
      </c>
      <c r="E582" s="292">
        <f t="shared" si="514"/>
        <v>23.77081936496883</v>
      </c>
      <c r="F582" s="119">
        <f t="shared" si="512"/>
        <v>-49.214378291036837</v>
      </c>
      <c r="G582" s="119">
        <f t="shared" si="513"/>
        <v>-18.775360419397128</v>
      </c>
      <c r="H582" s="209"/>
      <c r="I582" s="165">
        <f>(700-32)*5/9</f>
        <v>371.11111111111109</v>
      </c>
    </row>
    <row r="583" spans="1:9" ht="12" customHeight="1" x14ac:dyDescent="0.2">
      <c r="A583" s="123">
        <f t="shared" si="508"/>
        <v>0.19406451612903236</v>
      </c>
      <c r="B583" s="108">
        <f t="shared" si="509"/>
        <v>161.00127538118977</v>
      </c>
      <c r="C583" s="123">
        <f t="shared" si="510"/>
        <v>347.14700937885141</v>
      </c>
      <c r="D583" s="108">
        <f t="shared" si="511"/>
        <v>149.75234975310033</v>
      </c>
      <c r="E583" s="292">
        <f t="shared" si="514"/>
        <v>22.490626153114988</v>
      </c>
      <c r="F583" s="119">
        <f t="shared" si="512"/>
        <v>-52.495336843772627</v>
      </c>
      <c r="G583" s="119">
        <f t="shared" si="513"/>
        <v>-20.027051114023603</v>
      </c>
      <c r="H583" s="209"/>
      <c r="I583" s="165">
        <f>(670-32)*5/9</f>
        <v>354.44444444444446</v>
      </c>
    </row>
    <row r="584" spans="1:9" ht="12" customHeight="1" x14ac:dyDescent="0.2">
      <c r="A584" s="123">
        <f t="shared" si="508"/>
        <v>0.20619354838709689</v>
      </c>
      <c r="B584" s="108">
        <f t="shared" si="509"/>
        <v>161.00127538118977</v>
      </c>
      <c r="C584" s="123">
        <f t="shared" si="510"/>
        <v>337.70308261544972</v>
      </c>
      <c r="D584" s="108">
        <f t="shared" si="511"/>
        <v>151.81059682217486</v>
      </c>
      <c r="E584" s="292">
        <f t="shared" si="514"/>
        <v>21.31619523793168</v>
      </c>
      <c r="F584" s="119">
        <f t="shared" si="512"/>
        <v>-55.776295396508417</v>
      </c>
      <c r="G584" s="119">
        <f t="shared" si="513"/>
        <v>-21.278741808650079</v>
      </c>
      <c r="H584" s="209"/>
      <c r="I584" s="165">
        <f>(630-32)*5/9</f>
        <v>332.22222222222223</v>
      </c>
    </row>
    <row r="585" spans="1:9" ht="12" customHeight="1" x14ac:dyDescent="0.2">
      <c r="A585" s="123">
        <f t="shared" si="508"/>
        <v>0.21832258064516141</v>
      </c>
      <c r="B585" s="108">
        <f t="shared" si="509"/>
        <v>161.00127538118977</v>
      </c>
      <c r="C585" s="123">
        <f t="shared" si="510"/>
        <v>328.97753547763904</v>
      </c>
      <c r="D585" s="108">
        <f t="shared" si="511"/>
        <v>153.71227737015082</v>
      </c>
      <c r="E585" s="292">
        <f t="shared" si="514"/>
        <v>20.234738347257377</v>
      </c>
      <c r="F585" s="119">
        <f t="shared" si="512"/>
        <v>-59.057253949244206</v>
      </c>
      <c r="G585" s="119">
        <f t="shared" si="513"/>
        <v>-22.530432503276554</v>
      </c>
      <c r="H585" s="209">
        <f>(410-32)*5/9</f>
        <v>210</v>
      </c>
      <c r="I585" s="165">
        <f>(610-32)*5/9</f>
        <v>321.11111111111109</v>
      </c>
    </row>
    <row r="586" spans="1:9" ht="12" customHeight="1" x14ac:dyDescent="0.2">
      <c r="A586" s="123">
        <f t="shared" si="508"/>
        <v>0.23045161290322594</v>
      </c>
      <c r="B586" s="108">
        <f t="shared" si="509"/>
        <v>161.00127538118977</v>
      </c>
      <c r="C586" s="123">
        <f t="shared" si="510"/>
        <v>320.89130755812869</v>
      </c>
      <c r="D586" s="108">
        <f t="shared" si="511"/>
        <v>155.47462213755199</v>
      </c>
      <c r="E586" s="292">
        <f t="shared" si="514"/>
        <v>19.235545605350733</v>
      </c>
      <c r="F586" s="119">
        <f t="shared" si="512"/>
        <v>-62.338212501979996</v>
      </c>
      <c r="G586" s="119">
        <f t="shared" si="513"/>
        <v>-23.782123197903029</v>
      </c>
      <c r="H586" s="209"/>
      <c r="I586" s="165">
        <f>(590-32)*5/9</f>
        <v>310</v>
      </c>
    </row>
    <row r="587" spans="1:9" ht="12" customHeight="1" x14ac:dyDescent="0.2">
      <c r="A587" s="123">
        <f t="shared" si="508"/>
        <v>0.24258064516129046</v>
      </c>
      <c r="B587" s="108">
        <f t="shared" si="509"/>
        <v>161.00127538118977</v>
      </c>
      <c r="C587" s="123">
        <f t="shared" si="510"/>
        <v>313.37700593846</v>
      </c>
      <c r="D587" s="108">
        <f t="shared" si="511"/>
        <v>157.11231900584644</v>
      </c>
      <c r="E587" s="292">
        <f t="shared" si="514"/>
        <v>18.309563530075966</v>
      </c>
      <c r="F587" s="119">
        <f t="shared" si="512"/>
        <v>-65.619171054715792</v>
      </c>
      <c r="G587" s="119">
        <f t="shared" si="513"/>
        <v>-25.033813892529505</v>
      </c>
      <c r="H587" s="209"/>
      <c r="I587" s="165">
        <f>(570-32)*5/9</f>
        <v>298.88888888888891</v>
      </c>
    </row>
    <row r="588" spans="1:9" ht="12" customHeight="1" x14ac:dyDescent="0.2">
      <c r="A588" s="123">
        <f t="shared" si="508"/>
        <v>0.25470967741935496</v>
      </c>
      <c r="B588" s="108">
        <f t="shared" si="509"/>
        <v>161.00127538118977</v>
      </c>
      <c r="C588" s="123">
        <f t="shared" si="510"/>
        <v>306.32075340436222</v>
      </c>
      <c r="D588" s="108">
        <f t="shared" si="511"/>
        <v>158.65018682934968</v>
      </c>
      <c r="E588" s="292">
        <f t="shared" si="514"/>
        <v>17.449074724011925</v>
      </c>
      <c r="F588" s="119">
        <f t="shared" si="512"/>
        <v>-68.900129607451561</v>
      </c>
      <c r="G588" s="119">
        <f t="shared" si="513"/>
        <v>-26.28550458715598</v>
      </c>
      <c r="H588" s="209"/>
      <c r="I588" s="165">
        <f>(550-32)*5/9</f>
        <v>287.77777777777777</v>
      </c>
    </row>
    <row r="589" spans="1:9" ht="12" customHeight="1" x14ac:dyDescent="0.2">
      <c r="A589" s="123">
        <f t="shared" si="508"/>
        <v>0.26683870967741946</v>
      </c>
      <c r="B589" s="108">
        <f t="shared" si="509"/>
        <v>161.00127538118977</v>
      </c>
      <c r="C589" s="123">
        <f t="shared" si="510"/>
        <v>299.64268957698215</v>
      </c>
      <c r="D589" s="108">
        <f t="shared" si="511"/>
        <v>160.10563069757879</v>
      </c>
      <c r="E589" s="292">
        <f t="shared" si="514"/>
        <v>16.641038711395762</v>
      </c>
      <c r="F589" s="119">
        <f t="shared" si="512"/>
        <v>-72.181088160187358</v>
      </c>
      <c r="G589" s="119">
        <f t="shared" si="513"/>
        <v>-27.537195281782452</v>
      </c>
      <c r="H589" s="209"/>
      <c r="I589" s="165">
        <f>(530-32)*5/9</f>
        <v>276.66666666666669</v>
      </c>
    </row>
    <row r="590" spans="1:9" ht="12" customHeight="1" x14ac:dyDescent="0.2">
      <c r="A590" s="123">
        <f t="shared" si="508"/>
        <v>0.27896774193548396</v>
      </c>
      <c r="B590" s="108">
        <f t="shared" si="509"/>
        <v>161.00127538118977</v>
      </c>
      <c r="C590" s="123">
        <f t="shared" si="510"/>
        <v>293.31794256444306</v>
      </c>
      <c r="D590" s="108">
        <f t="shared" si="511"/>
        <v>161.48407128985923</v>
      </c>
      <c r="E590" s="292">
        <f t="shared" si="514"/>
        <v>15.876310402566551</v>
      </c>
      <c r="F590" s="119">
        <f t="shared" si="512"/>
        <v>-75.462046712923126</v>
      </c>
      <c r="G590" s="119">
        <f t="shared" si="513"/>
        <v>-28.788885976408924</v>
      </c>
      <c r="H590" s="209"/>
      <c r="I590" s="165">
        <f>(510-32)*5/9</f>
        <v>265.55555555555554</v>
      </c>
    </row>
    <row r="591" spans="1:9" ht="12" customHeight="1" x14ac:dyDescent="0.2">
      <c r="A591" s="123">
        <f t="shared" si="508"/>
        <v>0.29109677419354846</v>
      </c>
      <c r="B591" s="108">
        <f t="shared" si="509"/>
        <v>161.00127538118977</v>
      </c>
      <c r="C591" s="123">
        <f t="shared" si="510"/>
        <v>287.32369312398242</v>
      </c>
      <c r="D591" s="108">
        <f t="shared" si="511"/>
        <v>162.79048192298083</v>
      </c>
      <c r="E591" s="292">
        <f t="shared" si="514"/>
        <v>15.152041630704705</v>
      </c>
      <c r="F591" s="119">
        <f t="shared" si="512"/>
        <v>-78.743005265658923</v>
      </c>
      <c r="G591" s="119">
        <f t="shared" si="513"/>
        <v>-30.040576671035396</v>
      </c>
      <c r="H591" s="209"/>
      <c r="I591" s="165">
        <f>(505-32)*5/9</f>
        <v>262.77777777777777</v>
      </c>
    </row>
    <row r="592" spans="1:9" ht="12" customHeight="1" x14ac:dyDescent="0.2">
      <c r="A592" s="123">
        <f t="shared" si="508"/>
        <v>0.30322580645161296</v>
      </c>
      <c r="B592" s="108">
        <f t="shared" si="509"/>
        <v>161.00127538118977</v>
      </c>
      <c r="C592" s="123">
        <f t="shared" si="510"/>
        <v>281.63896657211239</v>
      </c>
      <c r="D592" s="108">
        <f t="shared" si="511"/>
        <v>164.02943390312751</v>
      </c>
      <c r="E592" s="292">
        <f t="shared" si="514"/>
        <v>14.46561928497786</v>
      </c>
      <c r="F592" s="119">
        <f t="shared" si="512"/>
        <v>-82.023963818394691</v>
      </c>
      <c r="G592" s="119">
        <f t="shared" si="513"/>
        <v>-31.292267365661871</v>
      </c>
      <c r="H592" s="209">
        <f>(370-32)*5/9</f>
        <v>187.77777777777777</v>
      </c>
      <c r="I592" s="165">
        <f>(500-32)*5/9</f>
        <v>260</v>
      </c>
    </row>
    <row r="593" spans="1:8" ht="12" customHeight="1" x14ac:dyDescent="0.2">
      <c r="A593" s="123"/>
      <c r="B593" s="108"/>
      <c r="C593" s="123"/>
      <c r="D593" s="108"/>
      <c r="E593" s="292"/>
      <c r="F593" s="119"/>
      <c r="G593" s="119"/>
      <c r="H593" s="209"/>
    </row>
    <row r="594" spans="1:8" ht="12" customHeight="1" x14ac:dyDescent="0.2">
      <c r="A594" s="123"/>
      <c r="B594" s="108"/>
      <c r="C594" s="123"/>
      <c r="D594" s="108"/>
      <c r="E594" s="292"/>
      <c r="F594" s="119"/>
      <c r="G594" s="119"/>
    </row>
    <row r="596" spans="1:8" ht="12" customHeight="1" x14ac:dyDescent="0.2">
      <c r="A596" s="255" t="s">
        <v>541</v>
      </c>
      <c r="B596" s="296" t="s">
        <v>425</v>
      </c>
      <c r="C596" s="209" t="s">
        <v>425</v>
      </c>
      <c r="D596" s="208" t="s">
        <v>542</v>
      </c>
      <c r="E596" s="208" t="s">
        <v>542</v>
      </c>
      <c r="F596" s="208" t="s">
        <v>543</v>
      </c>
    </row>
    <row r="597" spans="1:8" ht="12" customHeight="1" x14ac:dyDescent="0.2">
      <c r="A597" s="255" t="s">
        <v>544</v>
      </c>
      <c r="B597" s="296" t="s">
        <v>545</v>
      </c>
      <c r="C597" s="209" t="s">
        <v>546</v>
      </c>
      <c r="D597" s="208" t="s">
        <v>545</v>
      </c>
      <c r="E597" s="208" t="s">
        <v>546</v>
      </c>
      <c r="F597" s="208" t="s">
        <v>547</v>
      </c>
    </row>
    <row r="598" spans="1:8" ht="12" customHeight="1" x14ac:dyDescent="0.2">
      <c r="A598" s="255" t="s">
        <v>61</v>
      </c>
      <c r="B598" s="296" t="s">
        <v>13</v>
      </c>
      <c r="C598" s="209" t="s">
        <v>13</v>
      </c>
      <c r="D598" s="208" t="s">
        <v>13</v>
      </c>
      <c r="E598" s="208" t="s">
        <v>13</v>
      </c>
      <c r="F598" s="208" t="s">
        <v>13</v>
      </c>
    </row>
    <row r="599" spans="1:8" ht="12" customHeight="1" x14ac:dyDescent="0.2">
      <c r="A599" s="24">
        <f>I457-I457-B428/1000</f>
        <v>-1E-3</v>
      </c>
      <c r="B599" s="165">
        <f>B458-E$500</f>
        <v>196.3160779008841</v>
      </c>
      <c r="C599" s="165">
        <f t="shared" ref="C599:C604" si="515">B459-E$500</f>
        <v>196.3160779008841</v>
      </c>
      <c r="D599" s="256"/>
      <c r="E599" s="208"/>
      <c r="F599" s="156">
        <f>G$111-273</f>
        <v>1055.8064683811604</v>
      </c>
    </row>
    <row r="600" spans="1:8" ht="12" customHeight="1" x14ac:dyDescent="0.2">
      <c r="A600" s="24">
        <f>I457-I456-B428/1000</f>
        <v>-8.0000000000002205E-4</v>
      </c>
      <c r="B600" s="165">
        <f>B457-E$500</f>
        <v>196.27413256737859</v>
      </c>
      <c r="C600" s="165">
        <f t="shared" si="515"/>
        <v>196.33910420948555</v>
      </c>
      <c r="D600" s="256"/>
      <c r="E600" s="208"/>
      <c r="F600" s="156">
        <f>G$111-273</f>
        <v>1055.8064683811604</v>
      </c>
    </row>
    <row r="601" spans="1:8" ht="12" customHeight="1" x14ac:dyDescent="0.2">
      <c r="A601" s="24">
        <f>I457-I455-B428/1000</f>
        <v>-6.0000000000004407E-4</v>
      </c>
      <c r="B601" s="165">
        <f>B456-E$500</f>
        <v>196.23218693304835</v>
      </c>
      <c r="C601" s="165">
        <f t="shared" si="515"/>
        <v>196.38105202334057</v>
      </c>
      <c r="D601" s="256"/>
      <c r="E601" s="208"/>
      <c r="F601" s="156">
        <f>G$111-273</f>
        <v>1055.8064683811604</v>
      </c>
    </row>
    <row r="602" spans="1:8" ht="12" customHeight="1" x14ac:dyDescent="0.2">
      <c r="A602" s="24">
        <f>I457-I454-B428/1000</f>
        <v>-4.000000000000661E-4</v>
      </c>
      <c r="B602" s="165">
        <f>B455-E$500</f>
        <v>196.19024099795561</v>
      </c>
      <c r="C602" s="165">
        <f t="shared" si="515"/>
        <v>196.42299953721474</v>
      </c>
      <c r="D602" s="256"/>
      <c r="E602" s="208"/>
      <c r="F602" s="156">
        <f>G$111-273</f>
        <v>1055.8064683811604</v>
      </c>
    </row>
    <row r="603" spans="1:8" ht="12" customHeight="1" x14ac:dyDescent="0.2">
      <c r="A603" s="24">
        <f>I457-I453-B428/1000</f>
        <v>-2.0000000000008813E-4</v>
      </c>
      <c r="B603" s="165">
        <f>B454-E$500</f>
        <v>196.14829476376994</v>
      </c>
      <c r="C603" s="165">
        <f t="shared" si="515"/>
        <v>196.46494675001912</v>
      </c>
      <c r="D603" s="156"/>
      <c r="E603" s="156"/>
      <c r="F603" s="156">
        <f>G$111-273</f>
        <v>1055.8064683811604</v>
      </c>
    </row>
    <row r="604" spans="1:8" ht="12" customHeight="1" x14ac:dyDescent="0.2">
      <c r="A604" s="24">
        <f>B428/1000-B428/1000</f>
        <v>0</v>
      </c>
      <c r="B604" s="165">
        <f>B453-E$500</f>
        <v>196.13601383335009</v>
      </c>
      <c r="C604" s="165">
        <f t="shared" si="515"/>
        <v>196.50689366169215</v>
      </c>
      <c r="D604" s="156">
        <f>E472-E$500</f>
        <v>196.13601383335009</v>
      </c>
      <c r="E604" s="156">
        <f t="shared" ref="E604:E629" si="516">B473-E$500</f>
        <v>196.50687313862656</v>
      </c>
      <c r="F604" s="156">
        <f t="shared" ref="F604:F629" si="517">I473</f>
        <v>1034.2609350901587</v>
      </c>
    </row>
    <row r="605" spans="1:8" ht="12" customHeight="1" x14ac:dyDescent="0.2">
      <c r="A605" s="24">
        <f t="shared" ref="A605:A629" si="518">A$604+J473</f>
        <v>1.2129032258064519E-2</v>
      </c>
      <c r="D605" s="156">
        <f t="shared" ref="D605:D629" si="519">E474-E$500</f>
        <v>182.16644339189074</v>
      </c>
      <c r="E605" s="156">
        <f t="shared" si="516"/>
        <v>208.25522572351733</v>
      </c>
      <c r="F605" s="156">
        <f t="shared" si="517"/>
        <v>768.82430816401393</v>
      </c>
    </row>
    <row r="606" spans="1:8" ht="12" customHeight="1" x14ac:dyDescent="0.2">
      <c r="A606" s="24">
        <f t="shared" si="518"/>
        <v>2.4258064516129038E-2</v>
      </c>
      <c r="D606" s="156">
        <f t="shared" si="519"/>
        <v>175.90555295666502</v>
      </c>
      <c r="E606" s="156">
        <f t="shared" si="516"/>
        <v>212.62526407681344</v>
      </c>
      <c r="F606" s="156">
        <f t="shared" si="517"/>
        <v>661.23340724801915</v>
      </c>
    </row>
    <row r="607" spans="1:8" ht="12" customHeight="1" x14ac:dyDescent="0.2">
      <c r="A607" s="24">
        <f t="shared" si="518"/>
        <v>3.6387096774193557E-2</v>
      </c>
      <c r="D607" s="156">
        <f t="shared" si="519"/>
        <v>171.58297160406829</v>
      </c>
      <c r="E607" s="156">
        <f t="shared" si="516"/>
        <v>215.45521188053246</v>
      </c>
      <c r="F607" s="156">
        <f t="shared" si="517"/>
        <v>589.36526534167888</v>
      </c>
    </row>
    <row r="608" spans="1:8" ht="12" customHeight="1" x14ac:dyDescent="0.2">
      <c r="A608" s="24">
        <f t="shared" si="518"/>
        <v>4.8516129032258076E-2</v>
      </c>
      <c r="D608" s="156">
        <f t="shared" si="519"/>
        <v>168.29870162172733</v>
      </c>
      <c r="E608" s="156">
        <f t="shared" si="516"/>
        <v>217.50788590127965</v>
      </c>
      <c r="F608" s="156">
        <f t="shared" si="517"/>
        <v>535.95124172977137</v>
      </c>
    </row>
    <row r="609" spans="1:6" ht="12" customHeight="1" x14ac:dyDescent="0.2">
      <c r="A609" s="24">
        <f t="shared" si="518"/>
        <v>6.0645161290322595E-2</v>
      </c>
      <c r="D609" s="156">
        <f t="shared" si="519"/>
        <v>165.6736207737755</v>
      </c>
      <c r="E609" s="156">
        <f t="shared" si="516"/>
        <v>220.12688910877776</v>
      </c>
      <c r="F609" s="156">
        <f t="shared" si="517"/>
        <v>490.94877699455742</v>
      </c>
    </row>
    <row r="610" spans="1:6" ht="12" customHeight="1" x14ac:dyDescent="0.2">
      <c r="A610" s="24">
        <f t="shared" si="518"/>
        <v>7.2774193548387114E-2</v>
      </c>
      <c r="D610" s="156">
        <f t="shared" si="519"/>
        <v>163.52985139725254</v>
      </c>
      <c r="E610" s="156">
        <f t="shared" si="516"/>
        <v>221.91836798352898</v>
      </c>
      <c r="F610" s="156">
        <f t="shared" si="517"/>
        <v>455.54674265707672</v>
      </c>
    </row>
    <row r="611" spans="1:6" ht="12" customHeight="1" x14ac:dyDescent="0.2">
      <c r="A611" s="24">
        <f t="shared" si="518"/>
        <v>8.4903225806451627E-2</v>
      </c>
      <c r="D611" s="156">
        <f t="shared" si="519"/>
        <v>161.7297245813767</v>
      </c>
      <c r="E611" s="156">
        <f t="shared" si="516"/>
        <v>223.36240225703989</v>
      </c>
      <c r="F611" s="156">
        <f t="shared" si="517"/>
        <v>426.25012894072142</v>
      </c>
    </row>
    <row r="612" spans="1:6" ht="12" customHeight="1" x14ac:dyDescent="0.2">
      <c r="A612" s="24">
        <f t="shared" si="518"/>
        <v>9.7032258064516153E-2</v>
      </c>
      <c r="D612" s="156">
        <f t="shared" si="519"/>
        <v>160.19034164958043</v>
      </c>
      <c r="E612" s="156">
        <f t="shared" si="516"/>
        <v>224.54545368288385</v>
      </c>
      <c r="F612" s="156">
        <f t="shared" si="517"/>
        <v>401.54691595405399</v>
      </c>
    </row>
    <row r="613" spans="1:6" ht="12" customHeight="1" x14ac:dyDescent="0.2">
      <c r="A613" s="24">
        <f t="shared" si="518"/>
        <v>0.10916129032258068</v>
      </c>
      <c r="D613" s="156">
        <f t="shared" si="519"/>
        <v>158.85489741145915</v>
      </c>
      <c r="E613" s="156">
        <f t="shared" si="516"/>
        <v>225.71287355274461</v>
      </c>
      <c r="F613" s="156">
        <f t="shared" si="517"/>
        <v>379.85305374359018</v>
      </c>
    </row>
    <row r="614" spans="1:6" ht="12" customHeight="1" x14ac:dyDescent="0.2">
      <c r="A614" s="24">
        <f t="shared" si="518"/>
        <v>0.1212903225806452</v>
      </c>
      <c r="D614" s="156">
        <f t="shared" si="519"/>
        <v>157.66146859030943</v>
      </c>
      <c r="E614" s="156">
        <f t="shared" si="516"/>
        <v>226.27917909245983</v>
      </c>
      <c r="F614" s="156">
        <f t="shared" si="517"/>
        <v>362.01169212940772</v>
      </c>
    </row>
    <row r="615" spans="1:6" ht="12" customHeight="1" x14ac:dyDescent="0.2">
      <c r="A615" s="24">
        <f t="shared" si="518"/>
        <v>0.13341935483870973</v>
      </c>
      <c r="D615" s="156">
        <f t="shared" si="519"/>
        <v>156.5753419771612</v>
      </c>
      <c r="E615" s="156">
        <f t="shared" si="516"/>
        <v>226.76565096341707</v>
      </c>
      <c r="F615" s="156">
        <f t="shared" si="517"/>
        <v>345.96004703646651</v>
      </c>
    </row>
    <row r="616" spans="1:6" ht="12" customHeight="1" x14ac:dyDescent="0.2">
      <c r="A616" s="24">
        <f t="shared" si="518"/>
        <v>0.14554838709677426</v>
      </c>
      <c r="D616" s="156">
        <f t="shared" si="519"/>
        <v>155.58329087047193</v>
      </c>
      <c r="E616" s="156">
        <f t="shared" si="516"/>
        <v>227.18333189218851</v>
      </c>
      <c r="F616" s="156">
        <f t="shared" si="517"/>
        <v>331.47117888802944</v>
      </c>
    </row>
    <row r="617" spans="1:6" ht="12" customHeight="1" x14ac:dyDescent="0.2">
      <c r="A617" s="24">
        <f t="shared" si="518"/>
        <v>0.15767741935483878</v>
      </c>
      <c r="D617" s="156">
        <f t="shared" si="519"/>
        <v>154.67413397640289</v>
      </c>
      <c r="E617" s="156">
        <f t="shared" si="516"/>
        <v>227.54130635628925</v>
      </c>
      <c r="F617" s="156">
        <f t="shared" si="517"/>
        <v>318.35463917523589</v>
      </c>
    </row>
    <row r="618" spans="1:6" ht="12" customHeight="1" x14ac:dyDescent="0.2">
      <c r="A618" s="24">
        <f t="shared" si="518"/>
        <v>0.16980645161290331</v>
      </c>
      <c r="D618" s="156">
        <f t="shared" si="519"/>
        <v>153.83834812345441</v>
      </c>
      <c r="E618" s="156">
        <f t="shared" si="516"/>
        <v>227.84715748527901</v>
      </c>
      <c r="F618" s="156">
        <f t="shared" si="517"/>
        <v>306.44920551311895</v>
      </c>
    </row>
    <row r="619" spans="1:6" ht="12" customHeight="1" x14ac:dyDescent="0.2">
      <c r="A619" s="24">
        <f t="shared" si="518"/>
        <v>0.18193548387096783</v>
      </c>
      <c r="D619" s="156">
        <f t="shared" si="519"/>
        <v>153.06776730852005</v>
      </c>
      <c r="E619" s="156">
        <f t="shared" si="516"/>
        <v>228.10727328052053</v>
      </c>
      <c r="F619" s="156">
        <f t="shared" si="517"/>
        <v>295.6173576677067</v>
      </c>
    </row>
    <row r="620" spans="1:6" ht="12" customHeight="1" x14ac:dyDescent="0.2">
      <c r="A620" s="24">
        <f t="shared" si="518"/>
        <v>0.19406451612903236</v>
      </c>
      <c r="D620" s="156">
        <f t="shared" si="519"/>
        <v>152.35534562109979</v>
      </c>
      <c r="E620" s="156">
        <f t="shared" si="516"/>
        <v>228.32707823580679</v>
      </c>
      <c r="F620" s="156">
        <f t="shared" si="517"/>
        <v>285.74100243078425</v>
      </c>
    </row>
    <row r="621" spans="1:6" ht="12" customHeight="1" x14ac:dyDescent="0.2">
      <c r="A621" s="24">
        <f t="shared" si="518"/>
        <v>0.20619354838709689</v>
      </c>
      <c r="D621" s="156">
        <f t="shared" si="519"/>
        <v>151.69496816550557</v>
      </c>
      <c r="E621" s="156">
        <f t="shared" si="516"/>
        <v>228.5112114534875</v>
      </c>
      <c r="F621" s="156">
        <f t="shared" si="517"/>
        <v>276.71811449626989</v>
      </c>
    </row>
    <row r="622" spans="1:6" ht="12" customHeight="1" x14ac:dyDescent="0.2">
      <c r="A622" s="24">
        <f t="shared" si="518"/>
        <v>0.21832258064516141</v>
      </c>
      <c r="D622" s="156">
        <f t="shared" si="519"/>
        <v>151.08129833793737</v>
      </c>
      <c r="E622" s="156">
        <f t="shared" si="516"/>
        <v>228.66366557124672</v>
      </c>
      <c r="F622" s="156">
        <f t="shared" si="517"/>
        <v>268.46006269344406</v>
      </c>
    </row>
    <row r="623" spans="1:6" ht="12" customHeight="1" x14ac:dyDescent="0.2">
      <c r="A623" s="24">
        <f t="shared" si="518"/>
        <v>0.23045161290322594</v>
      </c>
      <c r="D623" s="156">
        <f t="shared" si="519"/>
        <v>150.5096525330024</v>
      </c>
      <c r="E623" s="156">
        <f t="shared" si="516"/>
        <v>228.78789646498953</v>
      </c>
      <c r="F623" s="156">
        <f t="shared" si="517"/>
        <v>260.88945645278682</v>
      </c>
    </row>
    <row r="624" spans="1:6" ht="12" customHeight="1" x14ac:dyDescent="0.2">
      <c r="A624" s="24">
        <f t="shared" si="518"/>
        <v>0.24258064516129046</v>
      </c>
      <c r="D624" s="156">
        <f t="shared" si="519"/>
        <v>149.97589478520101</v>
      </c>
      <c r="E624" s="156">
        <f t="shared" si="516"/>
        <v>228.88691081319865</v>
      </c>
      <c r="F624" s="156">
        <f t="shared" si="517"/>
        <v>253.93838976673348</v>
      </c>
    </row>
    <row r="625" spans="1:6" ht="12" customHeight="1" x14ac:dyDescent="0.2">
      <c r="A625" s="24">
        <f t="shared" si="518"/>
        <v>0.25470967741935496</v>
      </c>
      <c r="D625" s="156">
        <f t="shared" si="519"/>
        <v>149.47634353841676</v>
      </c>
      <c r="E625" s="156">
        <f t="shared" si="516"/>
        <v>228.96333664619783</v>
      </c>
      <c r="F625" s="156">
        <f t="shared" si="517"/>
        <v>247.54698492564751</v>
      </c>
    </row>
    <row r="626" spans="1:6" ht="12" customHeight="1" x14ac:dyDescent="0.2">
      <c r="A626" s="24">
        <f t="shared" si="518"/>
        <v>0.26683870967741946</v>
      </c>
      <c r="D626" s="156">
        <f t="shared" si="519"/>
        <v>149.00767808759244</v>
      </c>
      <c r="E626" s="156">
        <f t="shared" si="516"/>
        <v>229.01948062322757</v>
      </c>
      <c r="F626" s="156">
        <f t="shared" si="517"/>
        <v>241.66214196178001</v>
      </c>
    </row>
    <row r="627" spans="1:6" ht="12" customHeight="1" x14ac:dyDescent="0.2">
      <c r="A627" s="24">
        <f t="shared" si="518"/>
        <v>0.27896774193548396</v>
      </c>
      <c r="D627" s="156">
        <f t="shared" si="519"/>
        <v>148.56680998829967</v>
      </c>
      <c r="E627" s="156">
        <f t="shared" si="516"/>
        <v>229.05737474466105</v>
      </c>
      <c r="F627" s="156">
        <f t="shared" si="517"/>
        <v>236.23634231492861</v>
      </c>
    </row>
    <row r="628" spans="1:6" ht="12" customHeight="1" x14ac:dyDescent="0.2">
      <c r="A628" s="24">
        <f t="shared" si="518"/>
        <v>0.29109677419354846</v>
      </c>
      <c r="D628" s="156">
        <f t="shared" si="519"/>
        <v>148.15054374267177</v>
      </c>
      <c r="E628" s="156">
        <f t="shared" si="516"/>
        <v>229.07881423179043</v>
      </c>
      <c r="F628" s="156">
        <f t="shared" si="517"/>
        <v>231.22591380528831</v>
      </c>
    </row>
    <row r="629" spans="1:6" ht="12" customHeight="1" x14ac:dyDescent="0.2">
      <c r="A629" s="24">
        <f t="shared" si="518"/>
        <v>0.30322580645161296</v>
      </c>
      <c r="D629" s="156">
        <f t="shared" si="519"/>
        <v>151.73425743306996</v>
      </c>
      <c r="E629" s="156">
        <f t="shared" si="516"/>
        <v>229.08538622462672</v>
      </c>
      <c r="F629" s="156">
        <f t="shared" si="517"/>
        <v>226.56352876956009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7" workbookViewId="0">
      <selection activeCell="B30" sqref="B30"/>
    </sheetView>
  </sheetViews>
  <sheetFormatPr defaultColWidth="8.875" defaultRowHeight="12" customHeight="1" x14ac:dyDescent="0.2"/>
  <cols>
    <col min="1" max="1" width="29.375" style="9" customWidth="1"/>
    <col min="2" max="2" width="11.625" style="9" customWidth="1"/>
    <col min="3" max="6" width="9" style="9" customWidth="1"/>
    <col min="7" max="8" width="9.75" style="9" customWidth="1"/>
    <col min="9" max="10" width="9" style="9" customWidth="1"/>
    <col min="11" max="16384" width="8.875" style="9"/>
  </cols>
  <sheetData>
    <row r="1" spans="1:4" ht="12" customHeight="1" x14ac:dyDescent="0.2">
      <c r="A1" s="9" t="str">
        <f>'Data Input'!A2</f>
        <v>BOILER DESIGN</v>
      </c>
      <c r="B1" s="9" t="str">
        <f>'Data Input'!B2</f>
        <v>SPEEDY AS DESIGNED BY LBSC</v>
      </c>
    </row>
    <row r="2" spans="1:4" ht="12" customHeight="1" x14ac:dyDescent="0.2">
      <c r="A2" s="9" t="s">
        <v>548</v>
      </c>
    </row>
    <row r="3" spans="1:4" ht="12" customHeight="1" x14ac:dyDescent="0.2">
      <c r="A3" s="9" t="s">
        <v>549</v>
      </c>
      <c r="B3" s="172">
        <f>'Data Input'!B6</f>
        <v>5.4940000000000003E-2</v>
      </c>
      <c r="C3" s="9" t="str">
        <f>'Data Input'!C6</f>
        <v>kg/m2/s</v>
      </c>
    </row>
    <row r="4" spans="1:4" ht="12" customHeight="1" x14ac:dyDescent="0.2">
      <c r="A4" s="9" t="s">
        <v>550</v>
      </c>
      <c r="B4" s="303">
        <f>Calculation!B14</f>
        <v>5.6535145328355193E-4</v>
      </c>
      <c r="C4" s="9" t="s">
        <v>153</v>
      </c>
    </row>
    <row r="5" spans="1:4" ht="12" customHeight="1" x14ac:dyDescent="0.2">
      <c r="A5" s="9" t="str">
        <f>'Data Input'!A7</f>
        <v>STOCHOIMETRIC RATIO</v>
      </c>
      <c r="B5" s="165">
        <f>'Data Input'!B7</f>
        <v>16.5</v>
      </c>
      <c r="C5" s="9" t="str">
        <f>'Data Input'!C7</f>
        <v>Air/coal mass</v>
      </c>
    </row>
    <row r="6" spans="1:4" ht="12" customHeight="1" x14ac:dyDescent="0.2">
      <c r="A6" s="9" t="str">
        <f>'Data Input'!A11</f>
        <v>UNBURNT FUEL LOST</v>
      </c>
      <c r="B6" s="27">
        <f>'Data Input'!B11</f>
        <v>24.497305261525337</v>
      </c>
      <c r="C6" s="9" t="str">
        <f>'Data Input'!C11</f>
        <v>%</v>
      </c>
    </row>
    <row r="7" spans="1:4" ht="12" customHeight="1" x14ac:dyDescent="0.2">
      <c r="A7" s="9" t="str">
        <f>'Data Input'!A12</f>
        <v>FUEL BURNT ON GRATE</v>
      </c>
      <c r="B7" s="9">
        <f>'Data Input'!B12</f>
        <v>90</v>
      </c>
      <c r="C7" s="9" t="str">
        <f>'Data Input'!C12</f>
        <v>%</v>
      </c>
    </row>
    <row r="8" spans="1:4" ht="12" customHeight="1" x14ac:dyDescent="0.2">
      <c r="A8" s="9" t="str">
        <f>'Data Input'!A13</f>
        <v>COMBUSTION EFFICIENCY</v>
      </c>
      <c r="B8" s="9">
        <f>'Data Input'!B13</f>
        <v>97.5</v>
      </c>
      <c r="C8" s="9" t="str">
        <f>'Data Input'!C13</f>
        <v>%</v>
      </c>
    </row>
    <row r="9" spans="1:4" ht="12" customHeight="1" x14ac:dyDescent="0.2">
      <c r="A9" s="9" t="str">
        <f>'Data Input'!A31</f>
        <v>DRYNESS FRACTION OF STEAM</v>
      </c>
      <c r="B9" s="9">
        <f>'Data Input'!B31</f>
        <v>99.9</v>
      </c>
      <c r="C9" s="9" t="str">
        <f>'Data Input'!C31</f>
        <v>%</v>
      </c>
    </row>
    <row r="10" spans="1:4" ht="12" customHeight="1" x14ac:dyDescent="0.2">
      <c r="A10" s="9" t="s">
        <v>551</v>
      </c>
      <c r="B10" s="27">
        <f>'Data Input'!B29</f>
        <v>5.4</v>
      </c>
      <c r="C10" s="9" t="s">
        <v>314</v>
      </c>
    </row>
    <row r="11" spans="1:4" ht="12" customHeight="1" x14ac:dyDescent="0.2">
      <c r="A11" s="9" t="s">
        <v>552</v>
      </c>
      <c r="B11" s="27">
        <f>'Data Input'!B32</f>
        <v>4</v>
      </c>
      <c r="C11" s="9" t="s">
        <v>314</v>
      </c>
    </row>
    <row r="12" spans="1:4" ht="12" customHeight="1" x14ac:dyDescent="0.2">
      <c r="B12" s="27"/>
    </row>
    <row r="13" spans="1:4" ht="12" customHeight="1" x14ac:dyDescent="0.2">
      <c r="A13" s="9" t="s">
        <v>553</v>
      </c>
    </row>
    <row r="14" spans="1:4" ht="12" customHeight="1" x14ac:dyDescent="0.2">
      <c r="A14" s="9" t="s">
        <v>554</v>
      </c>
      <c r="B14" s="31">
        <f>Calculation!B43</f>
        <v>7.1147906339882909E-3</v>
      </c>
      <c r="C14" s="9" t="s">
        <v>153</v>
      </c>
    </row>
    <row r="15" spans="1:4" ht="12" customHeight="1" x14ac:dyDescent="0.2">
      <c r="A15" s="9" t="s">
        <v>555</v>
      </c>
      <c r="B15" s="27">
        <f>MIN(Calculation!E415,Calculation!F506)</f>
        <v>3.2915876746783095</v>
      </c>
      <c r="C15" s="9" t="s">
        <v>380</v>
      </c>
      <c r="D15" s="9" t="s">
        <v>556</v>
      </c>
    </row>
    <row r="16" spans="1:4" ht="12" customHeight="1" x14ac:dyDescent="0.2">
      <c r="A16" s="9" t="s">
        <v>557</v>
      </c>
      <c r="B16" s="27">
        <f>MAX(Calculation!E415,Calculation!F506)</f>
        <v>3.5091777092585463</v>
      </c>
      <c r="C16" s="9" t="s">
        <v>380</v>
      </c>
    </row>
    <row r="17" spans="1:13" ht="12" customHeight="1" x14ac:dyDescent="0.2">
      <c r="A17" s="9" t="s">
        <v>137</v>
      </c>
      <c r="B17" s="24">
        <f>Calculation!B532</f>
        <v>18.891208566155907</v>
      </c>
      <c r="C17" s="9" t="s">
        <v>269</v>
      </c>
    </row>
    <row r="18" spans="1:13" ht="12" customHeight="1" x14ac:dyDescent="0.2">
      <c r="A18" s="9" t="s">
        <v>558</v>
      </c>
      <c r="B18" s="156">
        <f>MAX(Calculation!G86:G111)-273</f>
        <v>1190.0581443997814</v>
      </c>
      <c r="C18" s="9" t="s">
        <v>13</v>
      </c>
    </row>
    <row r="19" spans="1:13" ht="12" customHeight="1" x14ac:dyDescent="0.2">
      <c r="A19" s="9" t="s">
        <v>559</v>
      </c>
      <c r="B19" s="156">
        <f>Calculation!C116</f>
        <v>1034.2609350901587</v>
      </c>
      <c r="C19" s="9" t="s">
        <v>13</v>
      </c>
    </row>
    <row r="20" spans="1:13" ht="12" customHeight="1" x14ac:dyDescent="0.2">
      <c r="A20" s="9" t="s">
        <v>560</v>
      </c>
      <c r="B20" s="156">
        <f>Calculation!G403</f>
        <v>281.63896657211239</v>
      </c>
      <c r="C20" s="9" t="s">
        <v>13</v>
      </c>
    </row>
    <row r="21" spans="1:13" ht="12" customHeight="1" x14ac:dyDescent="0.2">
      <c r="A21" s="9" t="s">
        <v>561</v>
      </c>
      <c r="B21" s="156">
        <f>Calculation!C507</f>
        <v>226.56352876956009</v>
      </c>
      <c r="C21" s="9" t="s">
        <v>13</v>
      </c>
    </row>
    <row r="22" spans="1:13" ht="12" customHeight="1" x14ac:dyDescent="0.2">
      <c r="A22" s="9" t="s">
        <v>562</v>
      </c>
      <c r="B22" s="156">
        <f>Calculation!C508</f>
        <v>266.08117761356408</v>
      </c>
      <c r="C22" s="9" t="s">
        <v>13</v>
      </c>
      <c r="E22" s="156"/>
    </row>
    <row r="23" spans="1:13" ht="12" customHeight="1" x14ac:dyDescent="0.2">
      <c r="A23" s="9" t="s">
        <v>563</v>
      </c>
      <c r="B23" s="31">
        <f>Calculation!C517</f>
        <v>3.6145637806799307E-3</v>
      </c>
      <c r="C23" s="31" t="s">
        <v>153</v>
      </c>
    </row>
    <row r="24" spans="1:13" ht="12" customHeight="1" x14ac:dyDescent="0.2">
      <c r="A24" s="9" t="s">
        <v>564</v>
      </c>
      <c r="B24" s="24">
        <f>Calculation!C518</f>
        <v>6.3934810102399213</v>
      </c>
      <c r="C24" s="24" t="s">
        <v>565</v>
      </c>
    </row>
    <row r="25" spans="1:13" ht="12" customHeight="1" x14ac:dyDescent="0.2">
      <c r="A25" s="9" t="s">
        <v>513</v>
      </c>
      <c r="B25" s="24">
        <f>Calculation!C519</f>
        <v>10.316636482673282</v>
      </c>
      <c r="C25" s="9" t="s">
        <v>269</v>
      </c>
      <c r="D25" s="9" t="s">
        <v>566</v>
      </c>
    </row>
    <row r="26" spans="1:13" ht="12" customHeight="1" x14ac:dyDescent="0.2">
      <c r="A26" s="9" t="s">
        <v>567</v>
      </c>
      <c r="B26" s="27">
        <f>B25/B17*100</f>
        <v>54.610780705453678</v>
      </c>
      <c r="C26" s="9" t="s">
        <v>18</v>
      </c>
      <c r="D26" s="9" t="s">
        <v>568</v>
      </c>
    </row>
    <row r="27" spans="1:13" ht="12" customHeight="1" x14ac:dyDescent="0.2">
      <c r="A27" s="9" t="s">
        <v>569</v>
      </c>
      <c r="B27" s="156">
        <f>Calculation!C503</f>
        <v>229.08420039481223</v>
      </c>
      <c r="C27" s="9" t="s">
        <v>13</v>
      </c>
      <c r="E27" s="156"/>
    </row>
    <row r="28" spans="1:13" ht="12" customHeight="1" x14ac:dyDescent="0.2">
      <c r="A28" s="9" t="s">
        <v>514</v>
      </c>
      <c r="B28" s="156">
        <f>B27-Calculation!B144</f>
        <v>77.85318502572801</v>
      </c>
      <c r="C28" s="9" t="s">
        <v>13</v>
      </c>
      <c r="D28" s="9" t="s">
        <v>570</v>
      </c>
    </row>
    <row r="29" spans="1:13" ht="12" customHeight="1" x14ac:dyDescent="0.2">
      <c r="A29" s="9" t="s">
        <v>571</v>
      </c>
      <c r="B29" s="156">
        <f>Calculation!C505</f>
        <v>3332.7678256285685</v>
      </c>
      <c r="C29" s="9" t="s">
        <v>280</v>
      </c>
      <c r="D29" s="27">
        <f>B29/100000*14.7</f>
        <v>0.48991687036739956</v>
      </c>
      <c r="E29" s="9" t="s">
        <v>507</v>
      </c>
    </row>
    <row r="30" spans="1:13" ht="12" customHeight="1" x14ac:dyDescent="0.2">
      <c r="A30" s="9" t="s">
        <v>536</v>
      </c>
      <c r="B30" s="31">
        <f>Calculation!B563</f>
        <v>1.1978091836862661E-3</v>
      </c>
      <c r="C30" s="9" t="s">
        <v>537</v>
      </c>
      <c r="D30" s="9" t="s">
        <v>572</v>
      </c>
    </row>
    <row r="31" spans="1:13" ht="12" customHeight="1" x14ac:dyDescent="0.2">
      <c r="E31" s="27"/>
      <c r="F31" s="24"/>
    </row>
    <row r="32" spans="1:13" ht="12" customHeight="1" x14ac:dyDescent="0.25">
      <c r="D32"/>
      <c r="E32"/>
      <c r="F32"/>
      <c r="G32"/>
      <c r="H32"/>
      <c r="I32"/>
      <c r="J32"/>
      <c r="K32"/>
      <c r="L32"/>
      <c r="M32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K20" sqref="K20"/>
    </sheetView>
  </sheetViews>
  <sheetFormatPr defaultColWidth="10.75" defaultRowHeight="13.5" x14ac:dyDescent="0.2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L28" sqref="L28"/>
    </sheetView>
  </sheetViews>
  <sheetFormatPr defaultColWidth="10.75" defaultRowHeight="13.5" x14ac:dyDescent="0.2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0" sqref="M30"/>
    </sheetView>
  </sheetViews>
  <sheetFormatPr defaultColWidth="10.75" defaultRowHeight="13.5" x14ac:dyDescent="0.2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L19" sqref="L19"/>
    </sheetView>
  </sheetViews>
  <sheetFormatPr defaultColWidth="10.75" defaultRowHeight="13.5" x14ac:dyDescent="0.2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G15" sqref="G15"/>
    </sheetView>
  </sheetViews>
  <sheetFormatPr defaultColWidth="8.875" defaultRowHeight="12.75" x14ac:dyDescent="0.2"/>
  <cols>
    <col min="1" max="16384" width="8.875" style="304"/>
  </cols>
  <sheetData>
    <row r="2" spans="1:10" x14ac:dyDescent="0.2">
      <c r="A2" s="1" t="s">
        <v>33</v>
      </c>
      <c r="C2" s="1" t="s">
        <v>573</v>
      </c>
      <c r="D2" s="1"/>
      <c r="E2" s="1"/>
      <c r="F2" s="1"/>
      <c r="G2" s="1"/>
      <c r="H2" s="1"/>
      <c r="I2" s="1" t="s">
        <v>574</v>
      </c>
    </row>
    <row r="3" spans="1:10" x14ac:dyDescent="0.2">
      <c r="A3" s="9" t="s">
        <v>34</v>
      </c>
      <c r="C3" s="1">
        <v>62.55</v>
      </c>
      <c r="D3" s="1">
        <v>65.5</v>
      </c>
      <c r="E3" s="1">
        <v>69.5</v>
      </c>
      <c r="F3" s="1">
        <v>73.77</v>
      </c>
      <c r="G3" s="1">
        <v>77</v>
      </c>
      <c r="H3" s="1">
        <v>85.7</v>
      </c>
      <c r="I3" s="99">
        <f>78.4*100/102.1</f>
        <v>76.787463271302656</v>
      </c>
      <c r="J3" s="14" t="s">
        <v>18</v>
      </c>
    </row>
    <row r="4" spans="1:10" x14ac:dyDescent="0.2">
      <c r="A4" s="1" t="s">
        <v>36</v>
      </c>
      <c r="C4" s="1">
        <v>3.87</v>
      </c>
      <c r="D4" s="1">
        <v>4.2300000000000004</v>
      </c>
      <c r="E4" s="1">
        <v>4.42</v>
      </c>
      <c r="F4" s="1">
        <v>4.55</v>
      </c>
      <c r="G4" s="1">
        <v>4.51</v>
      </c>
      <c r="H4" s="1">
        <v>2.97</v>
      </c>
      <c r="I4" s="99">
        <f>4.8*100/102.1</f>
        <v>4.7012732615083257</v>
      </c>
      <c r="J4" s="14" t="s">
        <v>18</v>
      </c>
    </row>
    <row r="5" spans="1:10" x14ac:dyDescent="0.2">
      <c r="A5" s="1" t="s">
        <v>37</v>
      </c>
      <c r="C5" s="1">
        <v>1.62</v>
      </c>
      <c r="D5" s="1">
        <v>0.67</v>
      </c>
      <c r="E5" s="1">
        <v>0.67</v>
      </c>
      <c r="F5" s="1">
        <v>0.41</v>
      </c>
      <c r="G5" s="1">
        <v>0.78</v>
      </c>
      <c r="H5" s="1">
        <v>0.62</v>
      </c>
      <c r="I5" s="99">
        <f>0.8*100/102.1</f>
        <v>0.78354554358472095</v>
      </c>
      <c r="J5" s="14" t="s">
        <v>18</v>
      </c>
    </row>
    <row r="6" spans="1:10" x14ac:dyDescent="0.2">
      <c r="A6" s="1" t="s">
        <v>38</v>
      </c>
      <c r="C6" s="1">
        <v>8.6300000000000008</v>
      </c>
      <c r="D6" s="1">
        <v>7.92</v>
      </c>
      <c r="E6" s="1">
        <v>9.2799999999999994</v>
      </c>
      <c r="F6" s="1">
        <v>7.99</v>
      </c>
      <c r="G6" s="1">
        <v>2.31</v>
      </c>
      <c r="H6" s="1">
        <v>3.15</v>
      </c>
      <c r="I6" s="99">
        <v>2.1</v>
      </c>
      <c r="J6" s="14" t="s">
        <v>18</v>
      </c>
    </row>
    <row r="7" spans="1:10" x14ac:dyDescent="0.2">
      <c r="A7" s="1" t="s">
        <v>39</v>
      </c>
      <c r="C7" s="1">
        <v>11.78</v>
      </c>
      <c r="D7" s="1">
        <v>10.15</v>
      </c>
      <c r="E7" s="1">
        <v>5.97</v>
      </c>
      <c r="F7" s="1">
        <v>1.76</v>
      </c>
      <c r="G7" s="1">
        <v>7.17</v>
      </c>
      <c r="H7" s="1">
        <v>3.59</v>
      </c>
      <c r="I7" s="99">
        <f>9.4*100/102.1</f>
        <v>9.2066601371204708</v>
      </c>
      <c r="J7" s="14" t="s">
        <v>18</v>
      </c>
    </row>
    <row r="8" spans="1:10" x14ac:dyDescent="0.2">
      <c r="A8" s="1" t="s">
        <v>40</v>
      </c>
      <c r="C8" s="1">
        <v>7.55</v>
      </c>
      <c r="D8" s="1">
        <v>7.53</v>
      </c>
      <c r="E8" s="1">
        <v>7.66</v>
      </c>
      <c r="F8" s="1">
        <v>7.52</v>
      </c>
      <c r="G8" s="1">
        <v>6.23</v>
      </c>
      <c r="H8" s="1">
        <v>2.97</v>
      </c>
      <c r="I8" s="99">
        <f>5.2*100/102.1</f>
        <v>5.0930460333006859</v>
      </c>
      <c r="J8" s="14" t="s">
        <v>18</v>
      </c>
    </row>
    <row r="9" spans="1:10" x14ac:dyDescent="0.2">
      <c r="A9" s="1" t="s">
        <v>41</v>
      </c>
      <c r="C9" s="1">
        <v>4</v>
      </c>
      <c r="D9" s="1">
        <v>4</v>
      </c>
      <c r="E9" s="1">
        <v>2.5</v>
      </c>
      <c r="F9" s="1">
        <v>4</v>
      </c>
      <c r="G9" s="1">
        <v>2</v>
      </c>
      <c r="H9" s="1">
        <v>1</v>
      </c>
      <c r="I9" s="99">
        <f>1.4*100/102.1</f>
        <v>1.3712047012732616</v>
      </c>
      <c r="J9" s="14" t="s">
        <v>18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Data Input</vt:lpstr>
      <vt:lpstr>Calculation</vt:lpstr>
      <vt:lpstr>Summary of Results</vt:lpstr>
      <vt:lpstr>Fire Heat Balance</vt:lpstr>
      <vt:lpstr>Heat Consumption</vt:lpstr>
      <vt:lpstr>Firetube Temp Chart</vt:lpstr>
      <vt:lpstr>Superheater Temp. Chart</vt:lpstr>
      <vt:lpstr>Data sheet &amp; guidance</vt:lpstr>
      <vt:lpstr>Calculation!Print_Area</vt:lpstr>
      <vt:lpstr>Calculation!Print_Area_MI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Neil</cp:lastModifiedBy>
  <dcterms:created xsi:type="dcterms:W3CDTF">2018-05-29T13:39:48Z</dcterms:created>
  <dcterms:modified xsi:type="dcterms:W3CDTF">2018-05-29T13:39:48Z</dcterms:modified>
</cp:coreProperties>
</file>